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Vordingborg Vand AS (V212)\ØR2025\"/>
    </mc:Choice>
  </mc:AlternateContent>
  <xr:revisionPtr revIDLastSave="0" documentId="13_ncr:1_{2137B076-8ED2-4E1B-9BB9-F37B8FCDA73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10.1. Varige tillæg" sheetId="37" r:id="rId13"/>
    <sheet name="Fane 10.2. Engangstillæg" sheetId="39" r:id="rId14"/>
    <sheet name="Fane 11. Tilknyttet virksomhed" sheetId="29" r:id="rId15"/>
    <sheet name="Fane 9. Anlægsprojekter (§ 19) " sheetId="11"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<sst xmlns="http://schemas.openxmlformats.org/spreadsheetml/2006/main" count="449" uniqueCount="205">
  <si>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</si>
  <si>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</si>
  <si>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</si>
  <si>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</si>
  <si>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</si>
  <si>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</si>
  <si>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</si>
  <si>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</si>
  <si>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</si>
  <si>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</si>
  <si>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</si>
  <si>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</si>
  <si>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</si>
  <si>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</si>
  <si>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</si>
  <si>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</si>
  <si>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</si>
  <si>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</si>
  <si>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</si>
  <si>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</si>
  <si>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</si>
  <si>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</si>
  <si>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</si>
  <si>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</si>
  <si>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</si>
  <si>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</si>
  <si>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</si>
  <si>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</si>
  <si>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</si>
  <si>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</si>
  <si>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</si>
  <si>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</si>
  <si>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</si>
  <si>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</si>
  <si>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</si>
  <si>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</si>
  <si>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</si>
  <si>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</si>
  <si>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</si>
  <si>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</si>
  <si>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</si>
  <si>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</si>
  <si>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</si>
  <si>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</si>
  <si>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</si>
  <si>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</si>
  <si>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</si>
  <si>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</si>
  <si>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</si>
  <si>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</si>
  <si>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</si>
  <si>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</si>
  <si>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</si>
  <si>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</si>
  <si>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</si>
  <si>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</si>
  <si>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</si>
  <si>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</si>
  <si>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</si>
  <si>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</si>
  <si>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</si>
  <si>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</si>
  <si>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</si>
  <si>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</si>
  <si>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</si>
  <si>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</si>
  <si>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</si>
  <si>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</si>
  <si>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</si>
  <si>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</si>
  <si>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</si>
  <si>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</si>
  <si>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</si>
  <si>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</si>
  <si>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</si>
  <si>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</si>
  <si>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</si>
  <si>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</si>
  <si>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</si>
  <si>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</si>
  <si>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</si>
  <si>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</si>
  <si>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</si>
  <si>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</si>
  <si>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</si>
  <si>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</si>
  <si>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</si>
  <si>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</si>
  <si>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</si>
  <si>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</si>
  <si>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</si>
  <si>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</si>
  <si>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</si>
  <si>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</si>
  <si>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</si>
  <si>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</si>
  <si>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</si>
  <si>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</si>
  <si>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</si>
  <si>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</si>
  <si>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</si>
  <si>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</si>
  <si>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</si>
  <si>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</si>
  <si>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</si>
  <si>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</si>
  <si>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</si>
  <si>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</si>
  <si>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</si>
  <si>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</si>
  <si>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</si>
  <si>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</si>
  <si>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</si>
  <si>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</si>
  <si>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</si>
  <si>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</si>
  <si>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</si>
  <si>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</si>
  <si>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</si>
  <si>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</si>
  <si>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</si>
  <si>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</si>
  <si>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</si>
  <si>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</si>
  <si>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</si>
  <si>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</si>
  <si>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</si>
  <si>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</si>
  <si>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</si>
  <si>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</si>
  <si>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</si>
  <si>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</si>
  <si>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</si>
  <si>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</si>
  <si>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</si>
  <si>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</si>
  <si>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</si>
  <si>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</si>
  <si>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</si>
  <si>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</si>
  <si>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</si>
  <si>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</si>
  <si>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</si>
  <si>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</si>
  <si>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</si>
  <si>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</si>
  <si>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</si>
  <si>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</si>
  <si>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</si>
  <si>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</si>
  <si>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</si>
  <si>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</si>
  <si>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</si>
  <si>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</si>
  <si>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</si>
  <si>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</si>
  <si>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</si>
  <si>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</si>
  <si>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</si>
  <si>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</si>
  <si>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</si>
  <si>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</si>
  <si>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</si>
  <si>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</si>
  <si>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</si>
  <si>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</si>
  <si>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</si>
  <si>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</si>
  <si>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</si>
  <si>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</si>
  <si>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</si>
  <si>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</si>
  <si>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</si>
  <si>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</si>
  <si>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</si>
  <si>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</si>
  <si>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</si>
  <si>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</si>
  <si>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</si>
  <si>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</si>
  <si>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</si>
  <si>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</si>
  <si>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</si>
  <si>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</si>
  <si>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</si>
  <si>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</si>
  <si>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</si>
  <si>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</si>
  <si>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</si>
  <si>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</si>
  <si>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</si>
  <si>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</si>
  <si>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</si>
  <si>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</si>
  <si>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</si>
  <si>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</si>
  <si>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</si>
  <si>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</si>
  <si>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</si>
  <si>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</si>
  <si>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Vandsamarbejde etableret i medfør af §52b i vandforsyningsloven</t>
  </si>
  <si>
    <t>Øvrige afgifter</t>
  </si>
  <si>
    <t>Projekt:  2019006  -  Nye tilslutninger</t>
  </si>
  <si>
    <t>Ingen engangstillæg</t>
  </si>
  <si>
    <t>Mølleporten Stege - Omlægning af vandledning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</si>
</sst>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65" fontId="8" fillId="4" borderId="1" xfId="1" applyNumberFormat="1" applyFont="1" applyFill="1" applyBorder="1" applyProtection="1"/>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0" borderId="0" xfId="0" applyFont="1" applyAlignment="1" applyProtection="1">
      <alignment horizontal="justify" vertical="center"/>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196</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NunE1OPcJjGbFpFBZemGJuZTqWdl3CDfsrDCDwntJ7DBmtnSbpIstg605UfYXkEXQKrY7Bh2Z7y5hZ/tVLmwrQ==" saltValue="QEFQ+RgK9jGYrpA8X4tmHQ=="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5" t="s">
        <v>197</v>
      </c>
      <c r="C10" s="66">
        <v>6941221</v>
      </c>
      <c r="D10" s="14" t="s">
        <v>3</v>
      </c>
      <c r="E10" s="1"/>
    </row>
    <row r="11" spans="1:5" x14ac:dyDescent="0.25">
      <c r="A11" s="1"/>
      <c r="B11" s="65" t="s">
        <v>198</v>
      </c>
      <c r="C11" s="66">
        <v>60132</v>
      </c>
      <c r="D11" s="14" t="s">
        <v>3</v>
      </c>
      <c r="E11" s="1"/>
    </row>
    <row r="12" spans="1:5" x14ac:dyDescent="0.25">
      <c r="A12" s="1"/>
      <c r="B12" s="65" t="s">
        <v>199</v>
      </c>
      <c r="C12" s="66">
        <v>86652</v>
      </c>
      <c r="D12" s="14" t="s">
        <v>3</v>
      </c>
      <c r="E12" s="1"/>
    </row>
    <row r="13" spans="1:5" x14ac:dyDescent="0.25">
      <c r="A13" s="1"/>
      <c r="B13" s="65" t="s">
        <v>200</v>
      </c>
      <c r="C13" s="66">
        <v>182525</v>
      </c>
      <c r="D13" s="14" t="s">
        <v>3</v>
      </c>
      <c r="E13" s="1"/>
    </row>
    <row r="14" spans="1:5" x14ac:dyDescent="0.25">
      <c r="A14" s="1"/>
      <c r="B14" s="65" t="s">
        <v>201</v>
      </c>
      <c r="C14" s="66">
        <v>366737</v>
      </c>
      <c r="D14" s="14" t="s">
        <v>3</v>
      </c>
      <c r="E14" s="1"/>
    </row>
    <row r="15" spans="1:5" x14ac:dyDescent="0.25">
      <c r="A15" s="1"/>
      <c r="B15" s="65"/>
      <c r="C15" s="66"/>
      <c r="D15" s="14" t="s">
        <v>3</v>
      </c>
      <c r="E15" s="1"/>
    </row>
    <row r="16" spans="1:5" x14ac:dyDescent="0.25">
      <c r="A16" s="1"/>
      <c r="B16" s="65"/>
      <c r="C16" s="66"/>
      <c r="D16" s="14" t="s">
        <v>3</v>
      </c>
      <c r="E16" s="1"/>
    </row>
    <row r="17" spans="1:5" x14ac:dyDescent="0.25">
      <c r="A17" s="1"/>
      <c r="B17" s="65"/>
      <c r="C17" s="66"/>
      <c r="D17" s="14" t="s">
        <v>3</v>
      </c>
      <c r="E17" s="1"/>
    </row>
    <row r="18" spans="1:5" x14ac:dyDescent="0.25">
      <c r="A18" s="1"/>
      <c r="B18" s="65"/>
      <c r="C18" s="66"/>
      <c r="D18" s="14" t="s">
        <v>3</v>
      </c>
      <c r="E18" s="1"/>
    </row>
    <row r="19" spans="1:5" x14ac:dyDescent="0.25">
      <c r="A19" s="1"/>
      <c r="B19" s="52" t="s">
        <v>143</v>
      </c>
      <c r="C19" s="12">
        <f>SUM(C10:C18)</f>
        <v>7637267</v>
      </c>
      <c r="D19" s="13" t="s">
        <v>3</v>
      </c>
      <c r="E19" s="1"/>
    </row>
    <row r="20" spans="1:5" x14ac:dyDescent="0.25">
      <c r="A20" s="1"/>
      <c r="B20" s="52" t="s">
        <v>144</v>
      </c>
      <c r="C20" s="12">
        <f>C19*(1+'Fane 13. Nøgletal'!C11)^2</f>
        <v>8683539.6623792294</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dYi1Vcak2/CvRjN3+uGqT5MtDcFlMtRpCtxGrdigx9X4S0h0JwfJ3ocGIPRpcI/nRyWeGnnU96xcXam+nwAXEA==" saltValue="Z+toYQ7nxWBHX5uaqaX6G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1"/>
      <c r="D7" s="1"/>
      <c r="E7" s="1"/>
    </row>
    <row r="8" spans="1:5" x14ac:dyDescent="0.25">
      <c r="A8" s="1"/>
      <c r="B8" s="98" t="s">
        <v>175</v>
      </c>
      <c r="C8" s="99"/>
      <c r="D8" s="100"/>
      <c r="E8" s="1"/>
    </row>
    <row r="9" spans="1:5" x14ac:dyDescent="0.25">
      <c r="A9" s="1"/>
      <c r="B9" s="56" t="s">
        <v>176</v>
      </c>
      <c r="C9" s="9">
        <v>-896088.46434792504</v>
      </c>
      <c r="D9" s="39" t="s">
        <v>3</v>
      </c>
      <c r="E9" s="1"/>
    </row>
    <row r="10" spans="1:5" x14ac:dyDescent="0.25">
      <c r="A10" s="1"/>
      <c r="B10" s="56" t="s">
        <v>174</v>
      </c>
      <c r="C10" s="9">
        <v>2176221.42153804</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0</v>
      </c>
      <c r="D15" s="14" t="s">
        <v>3</v>
      </c>
      <c r="E15" s="1"/>
    </row>
    <row r="16" spans="1:5" x14ac:dyDescent="0.25">
      <c r="A16" s="1"/>
      <c r="B16" s="56" t="s">
        <v>185</v>
      </c>
      <c r="C16" s="9">
        <f>IF(SUM(C9)&gt;0,SUM(C9),0)</f>
        <v>0</v>
      </c>
      <c r="D16" s="14" t="s">
        <v>3</v>
      </c>
      <c r="E16" s="1"/>
    </row>
    <row r="17" spans="1:5" ht="26.25" x14ac:dyDescent="0.25">
      <c r="A17" s="1"/>
      <c r="B17" s="72"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28139958.220869258</v>
      </c>
      <c r="D21" s="14" t="s">
        <v>3</v>
      </c>
      <c r="E21" s="1"/>
    </row>
    <row r="22" spans="1:5" x14ac:dyDescent="0.25">
      <c r="A22" s="1"/>
      <c r="B22" s="56" t="s">
        <v>182</v>
      </c>
      <c r="C22" s="9">
        <v>26053614</v>
      </c>
      <c r="D22" s="14" t="s">
        <v>3</v>
      </c>
      <c r="E22" s="1"/>
    </row>
    <row r="23" spans="1:5" x14ac:dyDescent="0.25">
      <c r="A23" s="1"/>
      <c r="B23" s="56" t="s">
        <v>28</v>
      </c>
      <c r="C23" s="9">
        <v>0</v>
      </c>
      <c r="D23" s="14" t="s">
        <v>3</v>
      </c>
      <c r="E23" s="1"/>
    </row>
    <row r="24" spans="1:5" x14ac:dyDescent="0.25">
      <c r="A24" s="1"/>
      <c r="B24" s="74" t="s">
        <v>183</v>
      </c>
      <c r="C24" s="46">
        <f>C21-C22-C23</f>
        <v>2086344.220869258</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TH99mr1I5O2+ViKclnOFy2YRoTeoySK011qDgvk+Qzh8JWuj+54BUGeqZldilBjIvQ6mI4sqfc7ZS2kBihEdpA==" saltValue="TnlutB3eQxvJe24ht2rpFA=="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8BfOkrj5fUtcCT5v5Rp4cJ2fWULVYEfcVulCwpODsZW+jxQSpuKXjY3yF4N9TSeCQ+Z3lZFcWPD9hYszSgwvw==" saltValue="8o5V/Rr+BIkjBiJoEM5+F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202</v>
      </c>
      <c r="C11" s="21">
        <v>0</v>
      </c>
      <c r="D11" s="14" t="s">
        <v>3</v>
      </c>
      <c r="E11" s="9">
        <v>4943</v>
      </c>
      <c r="F11" s="14" t="s">
        <v>3</v>
      </c>
      <c r="G11" s="1"/>
    </row>
    <row r="12" spans="1:7" x14ac:dyDescent="0.25">
      <c r="A12" s="1"/>
      <c r="B12" s="120" t="s">
        <v>204</v>
      </c>
      <c r="C12" s="21">
        <v>0</v>
      </c>
      <c r="D12" s="14" t="s">
        <v>3</v>
      </c>
      <c r="E12" s="9">
        <v>8787</v>
      </c>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0</v>
      </c>
      <c r="D17" s="13" t="s">
        <v>3</v>
      </c>
      <c r="E17" s="12">
        <f>SUM(E10:E16)</f>
        <v>13730</v>
      </c>
      <c r="F17" s="13" t="s">
        <v>3</v>
      </c>
      <c r="G17" s="1"/>
    </row>
    <row r="18" spans="1:7" x14ac:dyDescent="0.25">
      <c r="A18" s="1"/>
      <c r="B18" s="52" t="s">
        <v>147</v>
      </c>
      <c r="C18" s="12">
        <f>C17*(1+'Fane 13. Nøgletal'!C11)</f>
        <v>0</v>
      </c>
      <c r="D18" s="13" t="s">
        <v>3</v>
      </c>
      <c r="E18" s="12">
        <f>E17*(1+'Fane 13. Nøgletal'!C11)</f>
        <v>14640.299000000001</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6izICSEzC9X0NNhTixJ3nmQeKzKE8Z5TMo7dAxz9PN2tj/NRNg+On+GZuIgqFNu1+zLnfz3nNBECUoabl7j8QA==" saltValue="RbtkhPWCvbW9Hh9eFd3Bg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2" t="s">
        <v>15</v>
      </c>
      <c r="C9" s="74" t="s">
        <v>10</v>
      </c>
      <c r="D9" s="75"/>
      <c r="E9" s="74" t="s">
        <v>26</v>
      </c>
      <c r="F9" s="27"/>
      <c r="G9" s="1"/>
    </row>
    <row r="10" spans="1:7" x14ac:dyDescent="0.25">
      <c r="A10" s="1"/>
      <c r="B10" s="23" t="s">
        <v>203</v>
      </c>
      <c r="C10" s="21">
        <v>0</v>
      </c>
      <c r="D10" s="14" t="s">
        <v>3</v>
      </c>
      <c r="E10" s="9">
        <v>0</v>
      </c>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Yrf5+6cri7KMDPxYSf1R8wErJ/M5ijzT9ELPBbBhP4oHcbeZWuj/e7RnESsoLSCtMOSlWWUDDRRPQqphW07g==" saltValue="v+vdag/4UDp/3psFdXrb7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6" t="s">
        <v>10</v>
      </c>
      <c r="D9" s="117"/>
      <c r="E9" s="116" t="s">
        <v>26</v>
      </c>
      <c r="F9" s="117"/>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wsp9lExV1vcFeYbfMppTaqyIH3AEyPke/PL337dVEuExUoH+bHSgXouiedoTi49pCHHcqQzW0i+1IO1r7TTfTw==" saltValue="7zqp32MEVpD/BG8jsFjGSA=="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8" t="s">
        <v>83</v>
      </c>
      <c r="E9" s="119"/>
      <c r="F9" s="118" t="s">
        <v>2</v>
      </c>
      <c r="G9" s="119"/>
      <c r="H9" s="118" t="s">
        <v>84</v>
      </c>
      <c r="I9" s="119"/>
      <c r="J9" s="118" t="s">
        <v>25</v>
      </c>
      <c r="K9" s="119"/>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ZaGsZnwiX1DfDdGfrZe754MqJvHrN92tCrxntNBk+zdTFTkQlktic8JvEK0CdRo2f59kZ3PCoHV2zl8+Ej69DQ==" saltValue="S8/KhDj5h75q/KG/f/k9G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F91ZLlj3Pg8HN8J2FM5grNP3nj4kqHljPXU0+noNkCo+OX8Xh9Xyia3Qj88bhlld3ai36TRPuf01kjtoKIug==" saltValue="sovH0i5wOrUO0eU9H/jq/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4">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46/HcoFRrUK9Oi7nHVqL5CddUg5tI9DBZOJL8di64wBukrNQjXt9SZUfvcZ0JKZE5ZTdZ8t5Kyv8oHQJGiEqug==" saltValue="l8ygOhV8s6iXn3fIgUrPe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20830923.595426325</v>
      </c>
      <c r="D9" s="8" t="s">
        <v>3</v>
      </c>
      <c r="E9" s="1"/>
    </row>
    <row r="10" spans="1:5" ht="17.100000000000001" customHeight="1" x14ac:dyDescent="0.25">
      <c r="A10" s="1"/>
      <c r="B10" s="24" t="s">
        <v>32</v>
      </c>
      <c r="C10" s="7">
        <f>'Fane 10.1. Varige tillæg'!C18</f>
        <v>0</v>
      </c>
      <c r="D10" s="8" t="s">
        <v>3</v>
      </c>
      <c r="E10" s="1"/>
    </row>
    <row r="11" spans="1:5" ht="17.100000000000001" customHeight="1" x14ac:dyDescent="0.25">
      <c r="A11" s="1"/>
      <c r="B11" s="24" t="s">
        <v>33</v>
      </c>
      <c r="C11" s="9">
        <f>'Fane 10.1. Varige tillæg'!E18</f>
        <v>14640.299000000001</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1382060.8862004653</v>
      </c>
      <c r="D16" s="8" t="s">
        <v>3</v>
      </c>
      <c r="E16" s="1"/>
    </row>
    <row r="17" spans="1:5" ht="17.100000000000001" customHeight="1" x14ac:dyDescent="0.25">
      <c r="A17" s="1"/>
      <c r="B17" s="24" t="s">
        <v>9</v>
      </c>
      <c r="C17" s="9">
        <f>-SUM(C9:C16)*'Fane 5. Individuelt eff. krav'!C9</f>
        <v>-210172.61677404316</v>
      </c>
      <c r="D17" s="8" t="s">
        <v>3</v>
      </c>
      <c r="E17" s="1"/>
    </row>
    <row r="18" spans="1:5" ht="17.100000000000001" customHeight="1" x14ac:dyDescent="0.25">
      <c r="A18" s="1"/>
      <c r="B18" s="24" t="s">
        <v>21</v>
      </c>
      <c r="C18" s="9">
        <f>-'Fane 4.1. Gen. krav - drift'!C17</f>
        <v>-194117.33979660462</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21823334.824056137</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8683539.6623792294</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30506874.486435369</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5HdZdHRo0oVUJcrMr5O4iGO7XMezpvGhBd5Fxur7b5GwMG9T5y2IUPKC46r7Rcrjlz6m08RrxST9fn6HV65Zg==" saltValue="VWA/Wn8FwZHntv8qn5Eey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21823334.824056137</v>
      </c>
      <c r="D9" s="8" t="s">
        <v>3</v>
      </c>
      <c r="E9" s="1"/>
    </row>
    <row r="10" spans="1:5" ht="15" customHeight="1" x14ac:dyDescent="0.25">
      <c r="A10" s="1"/>
      <c r="B10" s="47" t="s">
        <v>17</v>
      </c>
      <c r="C10" s="41">
        <f>C9*'Fane 13. Nøgletal'!C11</f>
        <v>1446887.0988349218</v>
      </c>
      <c r="D10" s="8" t="s">
        <v>3</v>
      </c>
      <c r="E10" s="1"/>
    </row>
    <row r="11" spans="1:5" ht="15" customHeight="1" x14ac:dyDescent="0.25">
      <c r="A11" s="1"/>
      <c r="B11" s="47" t="s">
        <v>9</v>
      </c>
      <c r="C11" s="9">
        <f>-SUM(C9:C10)*'Fane 5. Individuelt eff. krav'!C9</f>
        <v>-220030.86171894643</v>
      </c>
      <c r="D11" s="8" t="s">
        <v>3</v>
      </c>
      <c r="E11" s="1"/>
    </row>
    <row r="12" spans="1:5" ht="15" customHeight="1" x14ac:dyDescent="0.25">
      <c r="A12" s="1"/>
      <c r="B12" s="47" t="s">
        <v>21</v>
      </c>
      <c r="C12" s="9">
        <f>-'Fane 4.1. Gen. krav - drift'!C22</f>
        <v>-202847.57303661713</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22847343.488135494</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9259258.3419949729</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32106601.830130465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e+c6wLYsAjx9xaXd+kjHTBumnxjEDl0PuVKaayXDuFoU3WLsObBYgyEmofOOX7yD2QwRdyo2Kr0uq71b3MEBg==" saltValue="xLo8DcX9T1bhj9ziXZgK9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22847343.488135494</v>
      </c>
      <c r="D9" s="8" t="s">
        <v>3</v>
      </c>
      <c r="E9" s="1"/>
    </row>
    <row r="10" spans="1:5" ht="15" customHeight="1" x14ac:dyDescent="0.25">
      <c r="A10" s="1"/>
      <c r="B10" s="47" t="s">
        <v>17</v>
      </c>
      <c r="C10" s="41">
        <f>C9*'Fane 13. Nøgletal'!C11</f>
        <v>1514778.8732633833</v>
      </c>
      <c r="D10" s="8" t="s">
        <v>3</v>
      </c>
      <c r="E10" s="1"/>
    </row>
    <row r="11" spans="1:5" ht="15" customHeight="1" x14ac:dyDescent="0.25">
      <c r="A11" s="1"/>
      <c r="B11" s="47" t="s">
        <v>9</v>
      </c>
      <c r="C11" s="9">
        <f>-SUM(C9:C10)*'Fane 5. Individuelt eff. krav'!C9</f>
        <v>-230355.2924524511</v>
      </c>
      <c r="D11" s="8" t="s">
        <v>3</v>
      </c>
      <c r="E11" s="1"/>
    </row>
    <row r="12" spans="1:5" ht="15" customHeight="1" x14ac:dyDescent="0.25">
      <c r="A12" s="1"/>
      <c r="B12" s="47" t="s">
        <v>21</v>
      </c>
      <c r="C12" s="9">
        <f>-'Fane 4.1. Gen. krav - drift'!C27</f>
        <v>-211970.43978636595</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23919796.629160058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9873147.1700692382</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33792943.799229294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Go/3Sds30X9WIM5yARJFjWCykXiznQgaM7UJr261YGU73KUcm4ecvs3G18T6nUXvpmAIbwdqQyuk/TlMlxwrQ==" saltValue="FSqPkt3gv+Oslw5a0oqwu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23919796.629160058</v>
      </c>
      <c r="D9" s="8" t="s">
        <v>3</v>
      </c>
      <c r="E9" s="1"/>
    </row>
    <row r="10" spans="1:5" ht="15" customHeight="1" x14ac:dyDescent="0.25">
      <c r="A10" s="1"/>
      <c r="B10" s="47" t="s">
        <v>17</v>
      </c>
      <c r="C10" s="9">
        <f>C9*'Fane 13. Nøgletal'!C11</f>
        <v>1585882.5165133118</v>
      </c>
      <c r="D10" s="8" t="s">
        <v>3</v>
      </c>
      <c r="E10" s="1"/>
    </row>
    <row r="11" spans="1:5" ht="15" customHeight="1" x14ac:dyDescent="0.25">
      <c r="A11" s="1"/>
      <c r="B11" s="47" t="s">
        <v>9</v>
      </c>
      <c r="C11" s="9">
        <f>-SUM(C9:C10)*'Fane 5. Individuelt eff. krav'!C9</f>
        <v>-241168.15816134863</v>
      </c>
      <c r="D11" s="8" t="s">
        <v>3</v>
      </c>
      <c r="E11" s="1"/>
    </row>
    <row r="12" spans="1:5" ht="15" customHeight="1" x14ac:dyDescent="0.25">
      <c r="A12" s="1"/>
      <c r="B12" s="47" t="s">
        <v>21</v>
      </c>
      <c r="C12" s="9">
        <f>-'Fane 4.1. Gen. krav - drift'!C32</f>
        <v>-221503.59834531799</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25043007.389166702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10527736.827444831</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35570744.216611534</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tZEvlqdfgW0O/S/Ghrf80CHBOlzxexsZQKsLvG4M/JhfqnPmtP89SXh1zidwuty1sA9dyuljm4yecEDvFF8Mg==" saltValue="YDb2jaTust6r5kJtdTNRJ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20665350.167946067</v>
      </c>
      <c r="D9" s="8" t="s">
        <v>3</v>
      </c>
      <c r="E9" s="1"/>
    </row>
    <row r="10" spans="1:5" x14ac:dyDescent="0.25">
      <c r="A10" s="1"/>
      <c r="B10" s="24" t="s">
        <v>32</v>
      </c>
      <c r="C10" s="7">
        <v>41230.358399999997</v>
      </c>
      <c r="D10" s="8" t="s">
        <v>3</v>
      </c>
      <c r="E10" s="1"/>
    </row>
    <row r="11" spans="1:5" ht="15" customHeight="1" x14ac:dyDescent="0.25">
      <c r="A11" s="1"/>
      <c r="B11" s="24" t="s">
        <v>33</v>
      </c>
      <c r="C11" s="9">
        <v>0</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739017.87893759995</v>
      </c>
      <c r="D16" s="8" t="s">
        <v>3</v>
      </c>
      <c r="E16" s="1"/>
    </row>
    <row r="17" spans="1:5" x14ac:dyDescent="0.25">
      <c r="A17" s="1"/>
      <c r="B17" s="24" t="s">
        <v>9</v>
      </c>
      <c r="C17" s="9">
        <v>-428911.96810567327</v>
      </c>
      <c r="D17" s="8" t="s">
        <v>3</v>
      </c>
      <c r="E17" s="1"/>
    </row>
    <row r="18" spans="1:5" x14ac:dyDescent="0.25">
      <c r="A18" s="1"/>
      <c r="B18" s="24" t="s">
        <v>21</v>
      </c>
      <c r="C18" s="9">
        <v>-185762.84175166526</v>
      </c>
      <c r="D18" s="8" t="s">
        <v>3</v>
      </c>
      <c r="E18" s="1"/>
    </row>
    <row r="19" spans="1:5" x14ac:dyDescent="0.25">
      <c r="A19" s="1"/>
      <c r="B19" s="24" t="s">
        <v>22</v>
      </c>
      <c r="C19" s="9">
        <v>0</v>
      </c>
      <c r="D19" s="8" t="s">
        <v>3</v>
      </c>
      <c r="E19" s="1"/>
    </row>
    <row r="20" spans="1:5" x14ac:dyDescent="0.25">
      <c r="A20" s="1"/>
      <c r="B20" s="74" t="s">
        <v>19</v>
      </c>
      <c r="C20" s="10">
        <v>20830923.595426325</v>
      </c>
      <c r="D20" s="11" t="s">
        <v>3</v>
      </c>
      <c r="E20" s="1"/>
    </row>
    <row r="21" spans="1:5" x14ac:dyDescent="0.25">
      <c r="A21" s="1"/>
      <c r="B21" s="52" t="s">
        <v>11</v>
      </c>
      <c r="C21" s="53"/>
      <c r="D21" s="19"/>
      <c r="E21" s="1"/>
    </row>
    <row r="22" spans="1:5" x14ac:dyDescent="0.25">
      <c r="A22" s="1"/>
      <c r="B22" s="54" t="s">
        <v>11</v>
      </c>
      <c r="C22" s="10">
        <v>8145302.600288</v>
      </c>
      <c r="D22" s="11" t="s">
        <v>3</v>
      </c>
      <c r="E22" s="1"/>
    </row>
    <row r="23" spans="1:5" x14ac:dyDescent="0.25">
      <c r="A23" s="1"/>
      <c r="B23" s="52" t="s">
        <v>39</v>
      </c>
      <c r="C23" s="53"/>
      <c r="D23" s="19"/>
      <c r="E23" s="1"/>
    </row>
    <row r="24" spans="1:5" ht="15" customHeight="1" x14ac:dyDescent="0.25">
      <c r="A24" s="1"/>
      <c r="B24" s="24" t="s">
        <v>35</v>
      </c>
      <c r="C24" s="9">
        <v>222808.85679359999</v>
      </c>
      <c r="D24" s="8" t="s">
        <v>3</v>
      </c>
      <c r="E24" s="1"/>
    </row>
    <row r="25" spans="1:5" ht="14.25" customHeight="1" x14ac:dyDescent="0.25">
      <c r="A25" s="1"/>
      <c r="B25" s="24" t="s">
        <v>36</v>
      </c>
      <c r="C25" s="9">
        <v>0</v>
      </c>
      <c r="D25" s="8" t="s">
        <v>3</v>
      </c>
      <c r="E25" s="1"/>
    </row>
    <row r="26" spans="1:5" ht="14.25" customHeight="1" x14ac:dyDescent="0.25">
      <c r="A26" s="1"/>
      <c r="B26" s="24" t="s">
        <v>79</v>
      </c>
      <c r="C26" s="9">
        <v>-8912.3542717439996</v>
      </c>
      <c r="D26" s="8" t="s">
        <v>3</v>
      </c>
      <c r="E26" s="1"/>
    </row>
    <row r="27" spans="1:5" ht="14.25" customHeight="1" x14ac:dyDescent="0.25">
      <c r="A27" s="1"/>
      <c r="B27" s="24" t="s">
        <v>80</v>
      </c>
      <c r="C27" s="9">
        <v>0</v>
      </c>
      <c r="D27" s="8" t="s">
        <v>3</v>
      </c>
      <c r="E27" s="1"/>
    </row>
    <row r="28" spans="1:5" ht="14.25" customHeight="1" x14ac:dyDescent="0.25">
      <c r="A28" s="1"/>
      <c r="B28" s="74" t="s">
        <v>40</v>
      </c>
      <c r="C28" s="63">
        <v>213896.50252185599</v>
      </c>
      <c r="D28" s="11" t="s">
        <v>3</v>
      </c>
      <c r="E28" s="1"/>
    </row>
    <row r="29" spans="1:5" x14ac:dyDescent="0.25">
      <c r="A29" s="1"/>
      <c r="B29" s="25" t="s">
        <v>65</v>
      </c>
      <c r="C29" s="53"/>
      <c r="D29" s="19"/>
      <c r="E29" s="1"/>
    </row>
    <row r="30" spans="1:5" x14ac:dyDescent="0.25">
      <c r="A30" s="1"/>
      <c r="B30" s="58" t="s">
        <v>66</v>
      </c>
      <c r="C30" s="10">
        <v>448044.23217396252</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29638166.930410147</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IQYhPTfNHFZAVXPWgk1A02BliNBKCD5MWSexT9Mv4GVT6ex2tlWoyJyRknVnnaa0aTbFC6cMe45vq956JX2j1A==" saltValue="TADeos/2P9y0UhiIITKAP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32"/>
      <c r="D7" s="1"/>
      <c r="E7" s="1"/>
    </row>
    <row r="8" spans="1:5" x14ac:dyDescent="0.25">
      <c r="A8" s="1"/>
      <c r="B8" s="98" t="s">
        <v>75</v>
      </c>
      <c r="C8" s="99"/>
      <c r="D8" s="100"/>
      <c r="E8" s="1"/>
    </row>
    <row r="9" spans="1:5" x14ac:dyDescent="0.25">
      <c r="A9" s="1"/>
      <c r="B9" s="56" t="s">
        <v>167</v>
      </c>
      <c r="C9" s="22">
        <v>9243580.3162245415</v>
      </c>
      <c r="D9" s="14" t="s">
        <v>3</v>
      </c>
      <c r="E9" s="1"/>
    </row>
    <row r="10" spans="1:5" x14ac:dyDescent="0.25">
      <c r="A10" s="1"/>
      <c r="B10" s="56" t="s">
        <v>110</v>
      </c>
      <c r="C10" s="22">
        <f>('Fane 3. Omkostninger i ØR2024'!C10+'Fane 3. Omkostninger i ØR2024'!C12+'Fane 3. Omkostninger i ØR2024'!C14)*(1+'Fane 13. Nøgletal'!C10)</f>
        <v>44561.771358719998</v>
      </c>
      <c r="D10" s="14" t="s">
        <v>3</v>
      </c>
      <c r="E10" s="1"/>
    </row>
    <row r="11" spans="1:5" x14ac:dyDescent="0.25">
      <c r="A11" s="1"/>
      <c r="B11" s="56" t="s">
        <v>81</v>
      </c>
      <c r="C11" s="22">
        <f>C9*'Fane 13. Nøgletal'!C23+C10*'Fane 13. Nøgletal'!C23</f>
        <v>185762.84175166523</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9705866.9898302313</v>
      </c>
      <c r="D15" s="14" t="s">
        <v>3</v>
      </c>
      <c r="E15" s="1"/>
    </row>
    <row r="16" spans="1:5" x14ac:dyDescent="0.25">
      <c r="A16" s="1"/>
      <c r="B16" s="56" t="s">
        <v>154</v>
      </c>
      <c r="C16" s="22">
        <f>('Fane 2.1. Økonomisk ramme 2025'!C10+'Fane 2.1. Økonomisk ramme 2025'!C12+'Fane 2.1. Økonomisk ramme 2025'!C14)*(1+'Fane 13. Nøgletal'!C11)</f>
        <v>0</v>
      </c>
      <c r="D16" s="14" t="s">
        <v>3</v>
      </c>
      <c r="E16" s="1"/>
    </row>
    <row r="17" spans="1:5" x14ac:dyDescent="0.25">
      <c r="A17" s="1"/>
      <c r="B17" s="56" t="s">
        <v>155</v>
      </c>
      <c r="C17" s="22">
        <f>(C15+C16)*'Fane 13. Nøgletal'!C23</f>
        <v>194117.33979660462</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10142378.651830856</v>
      </c>
      <c r="D21" s="14" t="s">
        <v>3</v>
      </c>
      <c r="E21" s="1"/>
    </row>
    <row r="22" spans="1:5" x14ac:dyDescent="0.25">
      <c r="A22" s="1"/>
      <c r="B22" s="56" t="s">
        <v>171</v>
      </c>
      <c r="C22" s="48">
        <f>(C21)*'Fane 13. Nøgletal'!C23</f>
        <v>202847.57303661713</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10598521.989318298</v>
      </c>
      <c r="D26" s="14" t="s">
        <v>3</v>
      </c>
      <c r="E26" s="1"/>
    </row>
    <row r="27" spans="1:5" x14ac:dyDescent="0.25">
      <c r="A27" s="1"/>
      <c r="B27" s="56" t="s">
        <v>118</v>
      </c>
      <c r="C27" s="48">
        <f>(C26)*'Fane 13. Nøgletal'!C23</f>
        <v>211970.43978636595</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11075179.917265899</v>
      </c>
      <c r="D31" s="14" t="s">
        <v>3</v>
      </c>
      <c r="E31" s="1"/>
    </row>
    <row r="32" spans="1:5" x14ac:dyDescent="0.25">
      <c r="A32" s="1"/>
      <c r="B32" s="56" t="s">
        <v>138</v>
      </c>
      <c r="C32" s="48">
        <f>(C31)*'Fane 13. Nøgletal'!C23</f>
        <v>221503.59834531799</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Mc64dJOjlhxDRJ/BxsP7uLzfJR5+luP2rofTlIXd9QgYBTzZZ2W5nbzk8vt7kwWatNmvo0x4I/u5gy/f895bRQ==" saltValue="jxRgBVkCZ0YCcbnh6i4Ne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15010425.309948787</v>
      </c>
      <c r="D9" s="14" t="s">
        <v>3</v>
      </c>
      <c r="E9" s="1"/>
    </row>
    <row r="10" spans="1:5" x14ac:dyDescent="0.25">
      <c r="A10" s="1"/>
      <c r="B10" s="56" t="s">
        <v>113</v>
      </c>
      <c r="C10" s="48">
        <f>('Fane 3. Omkostninger i ØR2024'!C11+'Fane 3. Omkostninger i ØR2024'!C13+'Fane 3. Omkostninger i ØR2024'!C15)*(1+'Fane 13. Nøgletal'!C10)</f>
        <v>0</v>
      </c>
      <c r="D10" s="14" t="s">
        <v>3</v>
      </c>
      <c r="E10" s="1"/>
    </row>
    <row r="11" spans="1:5" x14ac:dyDescent="0.25">
      <c r="A11" s="1"/>
      <c r="B11" s="56" t="s">
        <v>114</v>
      </c>
      <c r="C11" s="48">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16005616.507998392</v>
      </c>
      <c r="D15" s="14" t="s">
        <v>3</v>
      </c>
      <c r="E15" s="1"/>
    </row>
    <row r="16" spans="1:5" x14ac:dyDescent="0.25">
      <c r="A16" s="1"/>
      <c r="B16" s="56" t="s">
        <v>157</v>
      </c>
      <c r="C16" s="48">
        <f>('Fane 2.1. Økonomisk ramme 2025'!C11+'Fane 2.1. Økonomisk ramme 2025'!C13+'Fane 2.1. Økonomisk ramme 2025'!C15)*(1+'Fane 13. Nøgletal'!C11)</f>
        <v>15610.950823700001</v>
      </c>
      <c r="D16" s="14" t="s">
        <v>3</v>
      </c>
      <c r="E16" s="1"/>
    </row>
    <row r="17" spans="1:5" x14ac:dyDescent="0.25">
      <c r="A17" s="1"/>
      <c r="B17" s="56" t="s">
        <v>158</v>
      </c>
      <c r="C17" s="48">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17083434.839341998</v>
      </c>
      <c r="D21" s="14" t="s">
        <v>3</v>
      </c>
      <c r="E21" s="1"/>
    </row>
    <row r="22" spans="1:5" x14ac:dyDescent="0.25">
      <c r="A22" s="1"/>
      <c r="B22" s="56" t="s">
        <v>165</v>
      </c>
      <c r="C22" s="48">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18216066.569190372</v>
      </c>
      <c r="D26" s="14" t="s">
        <v>3</v>
      </c>
      <c r="E26" s="1"/>
    </row>
    <row r="27" spans="1:5" x14ac:dyDescent="0.25">
      <c r="A27" s="1"/>
      <c r="B27" s="56" t="s">
        <v>121</v>
      </c>
      <c r="C27" s="48">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19423791.782727692</v>
      </c>
      <c r="D31" s="14" t="s">
        <v>3</v>
      </c>
      <c r="E31" s="1"/>
    </row>
    <row r="32" spans="1:5" x14ac:dyDescent="0.25">
      <c r="A32" s="1"/>
      <c r="B32" s="56" t="s">
        <v>141</v>
      </c>
      <c r="C32" s="48">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NJWFKuUrNTG5JU6foi55qXxZr9KeWf8rTreBYxsAH9978o8VY8qG/y//xL8xjl8CoVRIZo3DTfVol95JucsQ==" saltValue="OAlnQ//oBh7Uob3NImyZM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9.4554689872768573E-3</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8Wop6u9ZSdo0PipEwx1ugZ6UD8uCVz/oXa99elSfmA6Vm8KrB8KbsoUqJiBWdVStHlwqz7fr7XOj+T9JnsiqUQ==" saltValue="lCJ/cwwDPUg6Oac3dQKQV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10.1. Varige tillæg</vt:lpstr>
      <vt:lpstr>Fane 10.2. Engangstillæg</vt:lpstr>
      <vt:lpstr>Fane 11. Tilknyttet virksomhed</vt:lpstr>
      <vt:lpstr>Fane 9. Anlægsprojekter (§ 19) </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2024-10-10T12:06:05Z</dcterms:modified>
</cp:coreProperties>
</file>