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Spildevand\Lemvig Vand &amp; Spildevand AS (S062)\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1" r:id="rId12"/>
    <sheet name="Fane 9. Korrektion af ØR2021"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calcPr calcId="162913" calcMode="manual"/>
</workbook>
</file>

<file path=xl/calcChain.xml><?xml version="1.0" encoding="utf-8"?>
<calcChain xmlns="http://schemas.openxmlformats.org/spreadsheetml/2006/main">
  <c r="C16" i="15" l="1"/>
  <c r="C20" i="23" l="1"/>
  <c r="C20" i="22"/>
  <c r="C20" i="15"/>
  <c r="C32" i="2"/>
  <c r="E24" i="32" l="1"/>
  <c r="E32" i="32" s="1"/>
  <c r="E34" i="32" s="1"/>
  <c r="E28" i="32" l="1"/>
  <c r="C15" i="19"/>
  <c r="E34" i="27" l="1"/>
  <c r="C22" i="23"/>
  <c r="C22" i="22"/>
  <c r="C22" i="15"/>
  <c r="C36" i="2"/>
  <c r="G18" i="41" l="1"/>
  <c r="C11" i="29" l="1"/>
  <c r="E11" i="29"/>
  <c r="E11" i="39"/>
  <c r="C11" i="39"/>
  <c r="J11" i="11"/>
  <c r="H11" i="11"/>
  <c r="E16" i="27" l="1"/>
  <c r="E29" i="20" l="1"/>
  <c r="E23" i="20"/>
  <c r="E17" i="20"/>
  <c r="E11" i="20"/>
  <c r="F10" i="11" l="1"/>
  <c r="F11" i="11" s="1"/>
  <c r="E12" i="29" l="1"/>
  <c r="C12" i="29"/>
  <c r="C12" i="21" l="1"/>
  <c r="C13" i="21" s="1"/>
  <c r="C12" i="2" l="1"/>
  <c r="C15" i="2" l="1"/>
  <c r="C14" i="2"/>
  <c r="G6" i="36" l="1"/>
  <c r="C12" i="39" l="1"/>
  <c r="E12" i="39" l="1"/>
  <c r="C26" i="2" l="1"/>
  <c r="C28" i="2" s="1"/>
  <c r="C27" i="2" l="1"/>
  <c r="C29" i="2" s="1"/>
  <c r="C30" i="2" l="1"/>
  <c r="C16" i="19" l="1"/>
  <c r="E24" i="20"/>
  <c r="E25" i="20" s="1"/>
  <c r="C18" i="22" s="1"/>
  <c r="C16" i="23" l="1"/>
  <c r="C16" i="22"/>
  <c r="C22" i="2"/>
  <c r="E30" i="20" l="1"/>
  <c r="E31" i="20" s="1"/>
  <c r="C18" i="23" s="1"/>
  <c r="E16" i="40" l="1"/>
  <c r="E12" i="40" l="1"/>
  <c r="G7" i="30" l="1"/>
  <c r="G11" i="30" s="1"/>
  <c r="E18" i="20" l="1"/>
  <c r="E19" i="20" s="1"/>
  <c r="C18" i="15" s="1"/>
  <c r="E12" i="20"/>
  <c r="E13" i="20" l="1"/>
  <c r="C24" i="2" s="1"/>
  <c r="E17" i="40"/>
  <c r="C34" i="2" s="1"/>
  <c r="E12" i="21" l="1"/>
  <c r="E13" i="21" s="1"/>
  <c r="C13" i="2" l="1"/>
  <c r="G10" i="36" l="1"/>
  <c r="G13" i="36" l="1"/>
  <c r="G17" i="36" s="1"/>
  <c r="G19" i="36" s="1"/>
  <c r="G15" i="30" l="1"/>
  <c r="G19" i="30" s="1"/>
  <c r="G23" i="36" l="1"/>
  <c r="G25" i="36" s="1"/>
  <c r="G21" i="30"/>
  <c r="G29" i="36" l="1"/>
  <c r="G31" i="36" s="1"/>
  <c r="G25" i="30"/>
  <c r="C10" i="37" l="1"/>
  <c r="C12" i="37" s="1"/>
  <c r="C13" i="37" l="1"/>
  <c r="C10" i="2" s="1"/>
  <c r="G44" i="30" s="1"/>
  <c r="G35" i="36"/>
  <c r="G37" i="36" l="1"/>
  <c r="E19" i="27" s="1"/>
  <c r="G41" i="36" l="1"/>
  <c r="G27" i="30"/>
  <c r="G31" i="30" l="1"/>
  <c r="E10" i="37"/>
  <c r="E12" i="37" s="1"/>
  <c r="G33" i="30" l="1"/>
  <c r="G37" i="30" s="1"/>
  <c r="G39" i="30" s="1"/>
  <c r="E13" i="37"/>
  <c r="C11" i="2" l="1"/>
  <c r="G42" i="36" s="1"/>
  <c r="G43" i="36" s="1"/>
  <c r="G53" i="36" l="1"/>
  <c r="G54" i="36" l="1"/>
  <c r="G58" i="36" s="1"/>
  <c r="G43" i="30"/>
  <c r="G45" i="30" s="1"/>
  <c r="E18" i="27"/>
  <c r="E20" i="27" s="1"/>
  <c r="E35" i="27" s="1"/>
  <c r="C19" i="2"/>
  <c r="G59" i="36" l="1"/>
  <c r="G63" i="36" s="1"/>
  <c r="G64" i="36" s="1"/>
  <c r="G52" i="30"/>
  <c r="C18" i="2"/>
  <c r="C9" i="2"/>
  <c r="C13" i="15"/>
  <c r="G53" i="30" l="1"/>
  <c r="G57" i="30" s="1"/>
  <c r="C16" i="2"/>
  <c r="C17" i="2" s="1"/>
  <c r="G58" i="30" l="1"/>
  <c r="G62" i="30" s="1"/>
  <c r="G63" i="30" s="1"/>
  <c r="C12" i="15"/>
  <c r="C13" i="23" l="1"/>
  <c r="C20" i="2"/>
  <c r="C37" i="2" s="1"/>
  <c r="C13" i="22"/>
  <c r="C12" i="23" l="1"/>
  <c r="C12" i="22"/>
  <c r="C9" i="15"/>
  <c r="C10" i="15" s="1"/>
  <c r="C11" i="15" l="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<sst xmlns="http://schemas.openxmlformats.org/spreadsheetml/2006/main" count="609" uniqueCount="290">
  <si>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</si>
  <si>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</si>
  <si>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</si>
  <si>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</si>
  <si>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</si>
  <si>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</si>
  <si>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</si>
  <si>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</si>
  <si>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</si>
  <si>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</si>
  <si>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</si>
  <si>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</si>
  <si>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</si>
  <si>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</si>
  <si>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</si>
  <si>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</si>
  <si>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</si>
  <si>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</si>
  <si>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</si>
  <si>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</si>
  <si>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</si>
  <si>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</si>
  <si>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</si>
  <si>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</si>
  <si>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</si>
  <si>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</si>
  <si>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</si>
  <si>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</si>
  <si>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Tidligere tilknyttet aktivitet - Anlæg</t>
  </si>
  <si>
    <t>Tidligere tilknyttet aktivitet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</si>
  <si>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</si>
  <si>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</si>
  <si>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</si>
  <si>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</si>
  <si>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</si>
  <si>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</si>
  <si>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</si>
  <si>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</si>
  <si>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</si>
  <si>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</si>
  <si>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</si>
  <si>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</si>
  <si>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</si>
  <si>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</si>
  <si>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</si>
  <si>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</si>
  <si>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</si>
  <si>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</si>
  <si>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</si>
  <si>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</si>
  <si>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</si>
  <si>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</si>
  <si>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</si>
  <si>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</si>
  <si>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</si>
  <si>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</si>
  <si>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</si>
  <si>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</si>
  <si>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</si>
  <si>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</si>
  <si>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</si>
  <si>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</si>
  <si>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</si>
  <si>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</si>
  <si>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</si>
  <si>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</si>
  <si>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</si>
  <si>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</si>
  <si>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</si>
  <si>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</si>
  <si>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</si>
  <si>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</si>
  <si>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</si>
  <si>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</si>
  <si>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</si>
  <si>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</si>
  <si>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</si>
  <si>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</si>
  <si>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Base for anlægsomkostninger til de vejledende økonomiske rammer for 2022</t>
  </si>
  <si>
    <t>Base for driftsomkostninger til de vejledende økonomiske rammer for 2022</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</si>
  <si>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</si>
  <si>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</si>
  <si>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</si>
  <si>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</si>
  <si>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</si>
  <si>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</si>
  <si>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</si>
  <si>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</si>
  <si>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</si>
  <si>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</si>
  <si>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</si>
  <si>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</si>
  <si>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</si>
  <si>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</si>
  <si>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</si>
  <si>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</si>
  <si>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</si>
  <si>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</si>
  <si>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</si>
  <si>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Tillæg til den økonomiske ramme for 2023</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</si>
  <si>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</si>
  <si>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</si>
  <si>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</si>
  <si>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</si>
  <si>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</si>
  <si>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</si>
  <si>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</si>
  <si>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</si>
  <si>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</si>
  <si>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</si>
  <si>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</si>
  <si>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</si>
  <si>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</si>
  <si>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</si>
  <si>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</si>
  <si>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</si>
  <si>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</si>
  <si>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</si>
  <si>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</si>
  <si>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</si>
  <si>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</si>
  <si>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</si>
  <si>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</si>
  <si>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Korrektion af den økonomiske ramme for 2019</t>
  </si>
  <si>
    <t>Tidligere tilknyttet virksomhed - Drift</t>
  </si>
  <si>
    <t>Tidligere tilknyttet virksomhed - Anlæg</t>
  </si>
  <si>
    <t>Videreførte omkostninger fra den økonomiske ramme for 2022</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</si>
  <si>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</si>
  <si>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</si>
  <si>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</si>
  <si>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</si>
  <si>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</si>
  <si>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</si>
  <si>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</si>
  <si>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</si>
  <si>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</si>
  <si>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Engangstillæg i alt i 2023-prisniveau</t>
  </si>
  <si>
    <t>Nye driftsomkostninger til de økonomiske rammer for 2021</t>
  </si>
  <si>
    <t>Vejledende generelt effektiviseringskrav til driftsomkostningerne i ØR24</t>
  </si>
  <si>
    <t>Nye anlægsomkostninger til de økonomiske rammer for 2021</t>
  </si>
  <si>
    <t>Base for anlægsomkostninger til de vejledende økonomiske rammer for 2024</t>
  </si>
  <si>
    <t>Vejledende generelt effektiviseringskrav til anlægsomkostningerne i ØR24</t>
  </si>
  <si>
    <t>Fradrag for kontrol af den økonomiske ramme</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</si>
  <si>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</si>
  <si>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</si>
  <si>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</si>
  <si>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</si>
  <si>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</si>
  <si>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</si>
  <si>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</si>
  <si>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</si>
  <si>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</si>
  <si>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</si>
  <si>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Generelt effektiviseringskrav til anlægsomkostninger i de vejledende økonomiske rammer for 2025</t>
  </si>
  <si>
    <t>Individuelt effektiviseringskrav til de økonomiske rammer for 2022-2023</t>
  </si>
  <si>
    <t>Tillæg til den økonomiske ramme for 2025</t>
  </si>
  <si>
    <t>Nye tillæg i alt i 2021-prisniveau</t>
  </si>
  <si>
    <t>Periodevise driftsomkostninger til de økonomiske rammer for 2025</t>
  </si>
  <si>
    <t>Periodevise driftsomkostninger i alt i 2025-prisniveau</t>
  </si>
  <si>
    <t>Tilknyttet virksomhed under hovedvirksomheden i alt (2021-prisniveau)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</si>
  <si>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</si>
  <si>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</si>
  <si>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</si>
  <si>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</si>
  <si>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Nye driftsomkostninger til de økonomiske rammer for 2022</t>
  </si>
  <si>
    <t>Generelt effektiviseringskrav til anlægsomkostninger i de økonomiske rammer for 2022</t>
  </si>
  <si>
    <t>Generelt effektiviseringskrav til anlægsomkostningerne i ØR22</t>
  </si>
  <si>
    <t>Nye anlægsomkostninger til de økonomiske rammer for 2022</t>
  </si>
  <si>
    <t>Generelt effektiviseringskrav til anlægsomkostningerne i ØR23</t>
  </si>
  <si>
    <t>Samlet økonomisk ramme for 2023</t>
  </si>
  <si>
    <t>Vejledende økonomisk ramme for 2025</t>
  </si>
  <si>
    <t>Prisudvikling til brug for ØR2022-2023</t>
  </si>
  <si>
    <t>Prisudvikling til brug for nye omkostninger i ØR2020</t>
  </si>
  <si>
    <t>Base for anlægsomkostninger til de vejledende økonomiske rammer for 2025</t>
  </si>
  <si>
    <t>Vejledende generelt effektiviseringskrav til anlægsomkostningerne i ØR25</t>
  </si>
  <si>
    <t xml:space="preserve">Indtægter fra tilbagebetalt skat eller sambeskatningsbidrag som følge af skattesagen </t>
  </si>
  <si>
    <t xml:space="preserve">Nedsættelse af økonomisk ramme som følge af skattesagen </t>
  </si>
  <si>
    <t>Ingen bortfald eller nedsættelse</t>
  </si>
  <si>
    <t>Tidligere opgjorte over/underdækninger</t>
  </si>
  <si>
    <t>Allerede indregnet fradrag i jeres økonomiske rammer</t>
  </si>
  <si>
    <t xml:space="preserve">Note: Opgørelsen af over/underækningen er taget fra jeres tidligere fremsendte økonomiske rammer og statusmeddelelser. I kan derfor ikke komme med høringssvar til denne opgørelse. </t>
  </si>
  <si>
    <t>Kontrol med overholdelse af den økonomiske ramme</t>
  </si>
  <si>
    <t>Fane 2.1: Samlet økonomisk ramme for 2023</t>
  </si>
  <si>
    <t>Vejledende økonomisk ramme for 2026</t>
  </si>
  <si>
    <t>Omkostninger i ØR2022</t>
  </si>
  <si>
    <t>Kontrol af den økonomiske ramme for 2021</t>
  </si>
  <si>
    <t>Korrektion af den økonomiske ramme for 2021</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</si>
  <si>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</si>
  <si>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</si>
  <si>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</si>
  <si>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</si>
  <si>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</si>
  <si>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</si>
  <si>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Videreførte omkostninger fra den økonomiske ramme for 2021</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</si>
  <si>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</si>
  <si>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</si>
  <si>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</si>
  <si>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</si>
  <si>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</si>
  <si>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</si>
  <si>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Faktiske ikke-påvirkelige omkostninger i 2021</t>
  </si>
  <si>
    <t>Ikke-påvirkelige omkostninger i 2021-prisniveau</t>
  </si>
  <si>
    <t>Ikke-påvirkelige omkostninger i 2023-prisniveau</t>
  </si>
  <si>
    <t>Tillæg til den økonomiske ramme for 2026</t>
  </si>
  <si>
    <t>Fane 7: Kontrol med overholdelse af den økonomiske ramme for 2021</t>
  </si>
  <si>
    <t>Over/underdækning i 2020</t>
  </si>
  <si>
    <t>Kontrol med overholdelse af den økonomiske ramme for 2021</t>
  </si>
  <si>
    <t>Indtægtsramme i den økonomiske ramme for 2021</t>
  </si>
  <si>
    <t>Faktiske indtægter i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</si>
  <si>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</si>
  <si>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</si>
  <si>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</si>
  <si>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</si>
  <si>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</si>
  <si>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</si>
  <si>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</si>
  <si>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</si>
  <si>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</si>
  <si>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</si>
  <si>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Oversigt over den økonomiske ramme for 2021</t>
  </si>
  <si>
    <t>Økonomisk ramme for 2022</t>
  </si>
  <si>
    <t>Anlægsprojekter igangsat senest den 1. marts 2016</t>
  </si>
  <si>
    <t>Anlægsprojekter igangsat senest den 1. marts 2016 i alt</t>
  </si>
  <si>
    <t>Generelt effektiviseringskrav til anlægsomkostninger i de økonomiske rammer for 2023</t>
  </si>
  <si>
    <t xml:space="preserve">Note: Denne opgørelse er taget fra jeres økonomiske ramme for 2022. I kan derfor ikke komme med høringssvar til denne opgørelse. </t>
  </si>
  <si>
    <t>Prisudvikling til brug for ØR2023-2024</t>
  </si>
  <si>
    <t>Periodevise driftsomkostninger i alt i 2021-prisniveau</t>
  </si>
  <si>
    <t>Til statusmeddelelse for 2023</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</si>
  <si>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</si>
  <si>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</si>
  <si>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</si>
  <si>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</si>
  <si>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</si>
  <si>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</si>
  <si>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Engangstillæg i alt i 2021-prisniveau</t>
  </si>
  <si>
    <t>Videreførte omkostninger fra den økonomiske ramme for 2024</t>
  </si>
  <si>
    <t>Bortfald eller nedsættelse i alt i 2021-prisniveau</t>
  </si>
  <si>
    <t>Vejledende økonomisk ramme for 2024</t>
  </si>
  <si>
    <t xml:space="preserve">Note: Denne opgørelse er taget fra jeres afgørelse for den økonomiske ramme for 2022. I kan derfor ikke komme med høringssvar til denne opgørelse. </t>
  </si>
  <si>
    <t xml:space="preserve">Anlægsprojekter (§ 19) </t>
  </si>
  <si>
    <t>Effektiviseringskrav (generelt og individuelt) - Drift</t>
  </si>
  <si>
    <t>Effektiviseringskrav (generelt og individuelt) - Anlæg</t>
  </si>
  <si>
    <t>Omkostninger i 2021</t>
  </si>
  <si>
    <t>Generelt effektiviseringskrav til driftsomkostninger i de vejledende økonomiske rammer for 2024</t>
  </si>
  <si>
    <t>Generelt effektiviseringskrav til anlægsomkostninger i de vejledende økonomiske rammer for 2024</t>
  </si>
  <si>
    <t xml:space="preserve">kr. </t>
  </si>
  <si>
    <t>Drifts-omkostninger</t>
  </si>
  <si>
    <t>Anskaffelses-pris</t>
  </si>
  <si>
    <t>Fane 10</t>
  </si>
  <si>
    <t>Fane 11.1</t>
  </si>
  <si>
    <t>Fane 11.2</t>
  </si>
  <si>
    <t>Fane 15</t>
  </si>
  <si>
    <t>Fane 8: Indtægter til tilbagebetaling som følge af skattesagen</t>
  </si>
  <si>
    <t>Fradrag i de økonomiske ramme i årene</t>
  </si>
  <si>
    <t>Samlet tilbagebetaling</t>
  </si>
  <si>
    <t>Skattesagen</t>
  </si>
  <si>
    <t>Fane 9: Korrektioner af den økonomiske ramme for 2021</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</si>
  <si>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</si>
  <si>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</si>
  <si>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</si>
  <si>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</si>
  <si>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</si>
  <si>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</si>
  <si>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</si>
  <si>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</si>
  <si>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Korrigeret over/underdækning i 2020</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</si>
  <si>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 modregninger af over/underdækninger fra tideligere år.</t>
  </si>
  <si>
    <t>Til indregning i de økonomiske rammer for 2024-2027</t>
  </si>
  <si>
    <t>Spildevandsafgift</t>
  </si>
  <si>
    <t>Afgift til Forsyningssekretariatet</t>
  </si>
  <si>
    <t>Ejendomsskatter</t>
  </si>
  <si>
    <t>Tjenestemandspensioner</t>
  </si>
  <si>
    <t>Erstatninger</t>
  </si>
  <si>
    <t>Resultat af kontrol med overholdelse af den økonomiske ramme for 2021</t>
  </si>
  <si>
    <t>Nye tillæg</t>
  </si>
  <si>
    <t>Ingen engangstillæg</t>
  </si>
  <si>
    <t>Ingen anlægsprojekter</t>
  </si>
  <si>
    <t>Ingen tilknyttet virksomhed under hovedvirksomheden</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</si>
  <si>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</si>
  <si>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</si>
  <si>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</si>
  <si>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</si>
  <si>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</si>
  <si>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</si>
  <si>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</si>
  <si>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</si>
  <si>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Indregnet fradrag i økonomisk ramme for 2022</t>
  </si>
  <si>
    <t>Indregnet fradrag i økonomisk ramme for 2023</t>
  </si>
  <si>
    <t>Korrektion af fradrag i den økonomiske ramme for 2023</t>
  </si>
  <si>
    <t>Tillæg/fradrag i den økonnomiske ramme for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</si>
</sst>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00_ ;_ * \-#,##0.00_ ;_ * &quot;-&quot;??_ ;_ @_ "/>
    <numFmt numFmtId="165" formatCode="_ * #,##0_ ;_ * \-#,##0_ ;_ * &quot;-&quot;??_ ;_ @_ "/>
    <numFmt numFmtId="166" formatCode="_-* #,##0.00\ _k_r_._-;\-* #,##0.00\ _k_r_._-;_-* &quot;-&quot;??\ _k_r_._-;_-@_-"/>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b/>
      <sz val="10"/>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60">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4" borderId="6" xfId="0" applyFont="1" applyFill="1" applyBorder="1" applyAlignment="1" applyProtection="1"/>
    <xf numFmtId="0" fontId="8" fillId="4" borderId="3" xfId="0" applyFont="1" applyFill="1" applyBorder="1" applyAlignment="1" applyProtection="1"/>
    <xf numFmtId="3" fontId="8" fillId="4" borderId="2" xfId="0" applyNumberFormat="1" applyFont="1" applyFill="1" applyBorder="1" applyProtection="1"/>
    <xf numFmtId="0" fontId="8" fillId="8" borderId="3" xfId="0" applyFont="1" applyFill="1" applyBorder="1" applyProtection="1"/>
    <xf numFmtId="1" fontId="8" fillId="0" borderId="1" xfId="0" applyNumberFormat="1"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0" fillId="2" borderId="0" xfId="0" applyNumberFormat="1" applyFill="1" applyProtection="1"/>
    <xf numFmtId="3" fontId="0" fillId="2" borderId="0" xfId="0" applyNumberFormat="1" applyFill="1" applyProtection="1"/>
    <xf numFmtId="0" fontId="0" fillId="0" borderId="0" xfId="0" applyFill="1" applyProtection="1"/>
    <xf numFmtId="0" fontId="0" fillId="0" borderId="0" xfId="0" applyFill="1" applyBorder="1" applyProtection="1"/>
    <xf numFmtId="3" fontId="15" fillId="4" borderId="1" xfId="0" applyNumberFormat="1" applyFont="1" applyFill="1" applyBorder="1" applyProtection="1"/>
    <xf numFmtId="0" fontId="14" fillId="3" borderId="1" xfId="0" applyFont="1" applyFill="1" applyBorder="1" applyProtection="1"/>
    <xf numFmtId="0" fontId="15" fillId="4" borderId="1" xfId="0" applyFont="1" applyFill="1" applyBorder="1" applyAlignment="1" applyProtection="1">
      <alignment wrapText="1"/>
    </xf>
    <xf numFmtId="0" fontId="15" fillId="4" borderId="2" xfId="0" applyFont="1" applyFill="1" applyBorder="1" applyAlignment="1" applyProtection="1">
      <alignment horizontal="left"/>
    </xf>
    <xf numFmtId="0" fontId="14" fillId="3" borderId="2" xfId="0" applyFont="1" applyFill="1" applyBorder="1" applyAlignment="1" applyProtection="1"/>
    <xf numFmtId="0" fontId="14" fillId="3" borderId="6" xfId="0" applyFont="1" applyFill="1" applyBorder="1" applyAlignment="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8" borderId="1" xfId="1" applyNumberFormat="1" applyFont="1" applyFill="1" applyBorder="1" applyProtection="1"/>
    <xf numFmtId="10" fontId="8" fillId="10" borderId="3" xfId="4" applyNumberFormat="1" applyFont="1" applyFill="1" applyBorder="1" applyAlignment="1" applyProtection="1"/>
    <xf numFmtId="10" fontId="8" fillId="10" borderId="3" xfId="4" applyNumberFormat="1" applyFont="1" applyFill="1" applyBorder="1" applyProtection="1"/>
    <xf numFmtId="3" fontId="8" fillId="4" borderId="3" xfId="0" applyNumberFormat="1" applyFont="1" applyFill="1" applyBorder="1" applyAlignment="1" applyProtection="1">
      <alignment horizontal="right"/>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13" fillId="2" borderId="0" xfId="0" applyFont="1" applyFill="1" applyAlignment="1" applyProtection="1">
      <alignment horizontal="center"/>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8" fillId="8" borderId="2" xfId="0" applyFont="1" applyFill="1" applyBorder="1" applyAlignment="1" applyProtection="1">
      <alignment horizontal="left" vertical="top" wrapText="1"/>
    </xf>
    <xf numFmtId="0" fontId="8" fillId="8" borderId="6" xfId="0" applyFont="1" applyFill="1" applyBorder="1" applyAlignment="1" applyProtection="1">
      <alignment horizontal="left" vertical="top"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48"/>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8" t="s">
        <v>4</v>
      </c>
      <c r="E6" s="98"/>
      <c r="F6" s="98"/>
      <c r="G6" s="98"/>
      <c r="H6" s="3"/>
      <c r="I6" s="1"/>
    </row>
    <row r="7" spans="1:9" ht="15" customHeight="1" x14ac:dyDescent="0.25">
      <c r="A7" s="1"/>
      <c r="B7" s="1"/>
      <c r="C7" s="3"/>
      <c r="D7" s="98"/>
      <c r="E7" s="98"/>
      <c r="F7" s="98"/>
      <c r="G7" s="98"/>
      <c r="H7" s="3"/>
      <c r="I7" s="1"/>
    </row>
    <row r="8" spans="1:9" ht="15.75" x14ac:dyDescent="0.25">
      <c r="A8" s="1"/>
      <c r="B8" s="1"/>
      <c r="C8" s="4"/>
      <c r="D8" s="106" t="s">
        <v>227</v>
      </c>
      <c r="E8" s="106"/>
      <c r="F8" s="106"/>
      <c r="G8" s="106"/>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5" t="s">
        <v>5</v>
      </c>
      <c r="E11" s="105"/>
      <c r="F11" s="105"/>
      <c r="G11" s="105"/>
      <c r="H11" s="5"/>
      <c r="I11" s="1"/>
    </row>
    <row r="12" spans="1:9" x14ac:dyDescent="0.25">
      <c r="A12" s="1"/>
      <c r="B12" s="1"/>
      <c r="C12" s="1"/>
      <c r="D12" s="1"/>
      <c r="E12" s="1"/>
      <c r="F12" s="1"/>
      <c r="G12" s="1"/>
      <c r="H12" s="5"/>
      <c r="I12" s="1"/>
    </row>
    <row r="13" spans="1:9" x14ac:dyDescent="0.25">
      <c r="A13" s="1"/>
      <c r="B13" s="1"/>
      <c r="C13" s="6" t="s">
        <v>6</v>
      </c>
      <c r="D13" s="110" t="s">
        <v>169</v>
      </c>
      <c r="E13" s="111"/>
      <c r="F13" s="111"/>
      <c r="G13" s="112"/>
      <c r="H13" s="5"/>
      <c r="I13" s="1"/>
    </row>
    <row r="14" spans="1:9" x14ac:dyDescent="0.25">
      <c r="A14" s="1"/>
      <c r="B14" s="1"/>
      <c r="C14" s="6" t="s">
        <v>16</v>
      </c>
      <c r="D14" s="95" t="s">
        <v>237</v>
      </c>
      <c r="E14" s="96"/>
      <c r="F14" s="96"/>
      <c r="G14" s="97"/>
      <c r="H14" s="5"/>
      <c r="I14" s="1"/>
    </row>
    <row r="15" spans="1:9" x14ac:dyDescent="0.25">
      <c r="A15" s="1"/>
      <c r="B15" s="1"/>
      <c r="C15" s="6" t="s">
        <v>34</v>
      </c>
      <c r="D15" s="95" t="s">
        <v>170</v>
      </c>
      <c r="E15" s="96"/>
      <c r="F15" s="96"/>
      <c r="G15" s="97"/>
      <c r="H15" s="5"/>
      <c r="I15" s="1"/>
    </row>
    <row r="16" spans="1:9" x14ac:dyDescent="0.25">
      <c r="A16" s="1"/>
      <c r="B16" s="1"/>
      <c r="C16" s="6" t="s">
        <v>35</v>
      </c>
      <c r="D16" s="95" t="s">
        <v>183</v>
      </c>
      <c r="E16" s="96"/>
      <c r="F16" s="96"/>
      <c r="G16" s="97"/>
      <c r="H16" s="5"/>
      <c r="I16" s="1"/>
    </row>
    <row r="17" spans="1:9" x14ac:dyDescent="0.25">
      <c r="A17" s="1"/>
      <c r="B17" s="1"/>
      <c r="C17" s="6" t="s">
        <v>119</v>
      </c>
      <c r="D17" s="95" t="s">
        <v>184</v>
      </c>
      <c r="E17" s="96"/>
      <c r="F17" s="96"/>
      <c r="G17" s="97"/>
      <c r="H17" s="5"/>
      <c r="I17" s="1"/>
    </row>
    <row r="18" spans="1:9" x14ac:dyDescent="0.25">
      <c r="A18" s="1"/>
      <c r="B18" s="1"/>
      <c r="C18" s="6" t="s">
        <v>106</v>
      </c>
      <c r="D18" s="107" t="s">
        <v>95</v>
      </c>
      <c r="E18" s="108"/>
      <c r="F18" s="108"/>
      <c r="G18" s="109"/>
      <c r="H18" s="5"/>
      <c r="I18" s="1"/>
    </row>
    <row r="19" spans="1:9" x14ac:dyDescent="0.25">
      <c r="A19" s="1"/>
      <c r="B19" s="1"/>
      <c r="C19" s="6" t="s">
        <v>107</v>
      </c>
      <c r="D19" s="107" t="s">
        <v>96</v>
      </c>
      <c r="E19" s="108"/>
      <c r="F19" s="108"/>
      <c r="G19" s="109"/>
      <c r="H19" s="5"/>
      <c r="I19" s="1"/>
    </row>
    <row r="20" spans="1:9" x14ac:dyDescent="0.25">
      <c r="A20" s="1"/>
      <c r="B20" s="1"/>
      <c r="C20" s="6" t="s">
        <v>7</v>
      </c>
      <c r="D20" s="107" t="s">
        <v>10</v>
      </c>
      <c r="E20" s="108"/>
      <c r="F20" s="108"/>
      <c r="G20" s="109"/>
      <c r="H20" s="5"/>
      <c r="I20" s="1"/>
    </row>
    <row r="21" spans="1:9" x14ac:dyDescent="0.25">
      <c r="A21" s="1"/>
      <c r="B21" s="1"/>
      <c r="C21" s="6" t="s">
        <v>108</v>
      </c>
      <c r="D21" s="99" t="s">
        <v>12</v>
      </c>
      <c r="E21" s="100"/>
      <c r="F21" s="100"/>
      <c r="G21" s="101"/>
      <c r="H21" s="5"/>
      <c r="I21" s="1"/>
    </row>
    <row r="22" spans="1:9" x14ac:dyDescent="0.25">
      <c r="A22" s="1"/>
      <c r="B22" s="1"/>
      <c r="C22" s="6" t="s">
        <v>83</v>
      </c>
      <c r="D22" s="102" t="s">
        <v>185</v>
      </c>
      <c r="E22" s="103"/>
      <c r="F22" s="103"/>
      <c r="G22" s="104"/>
      <c r="H22" s="5"/>
      <c r="I22" s="1"/>
    </row>
    <row r="23" spans="1:9" x14ac:dyDescent="0.25">
      <c r="A23" s="1"/>
      <c r="B23" s="1"/>
      <c r="C23" s="6" t="s">
        <v>8</v>
      </c>
      <c r="D23" s="102" t="s">
        <v>255</v>
      </c>
      <c r="E23" s="103"/>
      <c r="F23" s="103"/>
      <c r="G23" s="104"/>
      <c r="H23" s="5"/>
      <c r="I23" s="1"/>
    </row>
    <row r="24" spans="1:9" x14ac:dyDescent="0.25">
      <c r="A24" s="1"/>
      <c r="B24" s="1"/>
      <c r="C24" s="6" t="s">
        <v>9</v>
      </c>
      <c r="D24" s="102" t="s">
        <v>186</v>
      </c>
      <c r="E24" s="103"/>
      <c r="F24" s="103"/>
      <c r="G24" s="104"/>
      <c r="H24" s="5"/>
      <c r="I24" s="1"/>
    </row>
    <row r="25" spans="1:9" x14ac:dyDescent="0.25">
      <c r="A25" s="1"/>
      <c r="B25" s="1"/>
      <c r="C25" s="6" t="s">
        <v>248</v>
      </c>
      <c r="D25" s="102" t="s">
        <v>239</v>
      </c>
      <c r="E25" s="103"/>
      <c r="F25" s="103"/>
      <c r="G25" s="104"/>
      <c r="H25" s="1"/>
      <c r="I25" s="1"/>
    </row>
    <row r="26" spans="1:9" x14ac:dyDescent="0.25">
      <c r="A26" s="1"/>
      <c r="B26" s="1"/>
      <c r="C26" s="6" t="s">
        <v>249</v>
      </c>
      <c r="D26" s="102" t="s">
        <v>84</v>
      </c>
      <c r="E26" s="103"/>
      <c r="F26" s="103"/>
      <c r="G26" s="104"/>
      <c r="H26" s="1"/>
      <c r="I26" s="1"/>
    </row>
    <row r="27" spans="1:9" x14ac:dyDescent="0.25">
      <c r="A27" s="1"/>
      <c r="B27" s="1"/>
      <c r="C27" s="6" t="s">
        <v>250</v>
      </c>
      <c r="D27" s="102" t="s">
        <v>85</v>
      </c>
      <c r="E27" s="103"/>
      <c r="F27" s="103"/>
      <c r="G27" s="104"/>
      <c r="H27" s="1"/>
      <c r="I27" s="1"/>
    </row>
    <row r="28" spans="1:9" x14ac:dyDescent="0.25">
      <c r="A28" s="1"/>
      <c r="B28" s="1"/>
      <c r="C28" s="6" t="s">
        <v>15</v>
      </c>
      <c r="D28" s="102" t="s">
        <v>86</v>
      </c>
      <c r="E28" s="103"/>
      <c r="F28" s="103"/>
      <c r="G28" s="104"/>
      <c r="H28" s="1"/>
      <c r="I28" s="1"/>
    </row>
    <row r="29" spans="1:9" x14ac:dyDescent="0.25">
      <c r="A29" s="1"/>
      <c r="B29" s="1"/>
      <c r="C29" s="6" t="s">
        <v>37</v>
      </c>
      <c r="D29" s="102" t="s">
        <v>134</v>
      </c>
      <c r="E29" s="103"/>
      <c r="F29" s="103"/>
      <c r="G29" s="104"/>
      <c r="H29" s="1"/>
      <c r="I29" s="1"/>
    </row>
    <row r="30" spans="1:9" x14ac:dyDescent="0.25">
      <c r="A30" s="1"/>
      <c r="B30" s="1"/>
      <c r="C30" s="6" t="s">
        <v>38</v>
      </c>
      <c r="D30" s="102" t="s">
        <v>36</v>
      </c>
      <c r="E30" s="103"/>
      <c r="F30" s="103"/>
      <c r="G30" s="104"/>
      <c r="H30" s="1"/>
      <c r="I30" s="1"/>
    </row>
    <row r="31" spans="1:9" x14ac:dyDescent="0.25">
      <c r="A31" s="1"/>
      <c r="B31" s="1"/>
      <c r="C31" s="6" t="s">
        <v>251</v>
      </c>
      <c r="D31" s="113" t="s">
        <v>105</v>
      </c>
      <c r="E31" s="114"/>
      <c r="F31" s="114"/>
      <c r="G31" s="115"/>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sheetData>
  <sheetProtection algorithmName="SHA-512" hashValue="8nKdsQhdFU2zOWP8dbZJGBRlF0EVE8QH60jfEMhTt5uAv+sNidT+lMN0trFA/93ZF5sBuoactcB/+3q5qciZzA==" saltValue="l5s7xnsQ5jF97Wj0+NO2lA==" spinCount="100000" sheet="1" objects="1" scenarios="1"/>
  <mergeCells count="22">
    <mergeCell ref="D30:G30"/>
    <mergeCell ref="D31:G31"/>
    <mergeCell ref="D18:G18"/>
    <mergeCell ref="D25:G25"/>
    <mergeCell ref="D26:G26"/>
    <mergeCell ref="D29:G29"/>
    <mergeCell ref="D27:G27"/>
    <mergeCell ref="D28:G28"/>
    <mergeCell ref="D24:G24"/>
    <mergeCell ref="D23:G23"/>
    <mergeCell ref="D14:G14"/>
    <mergeCell ref="D6:G7"/>
    <mergeCell ref="D21:G21"/>
    <mergeCell ref="D22:G22"/>
    <mergeCell ref="D11:G11"/>
    <mergeCell ref="D8:G8"/>
    <mergeCell ref="D15:G15"/>
    <mergeCell ref="D16:G16"/>
    <mergeCell ref="D19:G19"/>
    <mergeCell ref="D13:G13"/>
    <mergeCell ref="D17:G17"/>
    <mergeCell ref="D20:G20"/>
  </mergeCells>
  <hyperlinks>
    <hyperlink ref="D14:G14" location="'Fane 2.2. Økonomisk ramme 2024'!A1" display="Samlet økonomisk ramme for 2024"/>
    <hyperlink ref="D26:G26" location="'Fane 11.1. Varige tillæg'!A1" display="Varige tillæg"/>
    <hyperlink ref="D29:G29" location="'Fane 13. Tilknyttet virksomhed'!A1" display="Tilknyttet virksomhed"/>
    <hyperlink ref="D30:G30" location="'Fane 14.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2:G22" location="'Fane 7. Kontrol af ØR2021'!A1" display="Kontrol af den økonomiske ramme for 2021"/>
    <hyperlink ref="D25:G25" location="'Fane 10. Anlægsprojekter (§ 19)'!A1" display="Anlægsprojekter (§ 19) "/>
    <hyperlink ref="D31:G31" location="'Fane 15. Nøgletal'!A1" display="Nøgletal"/>
    <hyperlink ref="D17:G17" location="'Fane 3. Omkostninger i ØR2022'!A1" display="Omkostninger i ØR2022"/>
    <hyperlink ref="D27:G27" location="'Fane 11.2. Engangstillæg'!A1" display="Engangstillæg"/>
    <hyperlink ref="D28:G28" location="'Fane 12. Periodevise driftsomk.'!A1" display="Periodevise driftsomkostninger"/>
    <hyperlink ref="D24:G24" location="'Fane 9. Korrektion af ØR2021'!A1" display="Korrektion af den økonomiske ramme for 2021"/>
    <hyperlink ref="D21:G21" location="'Fane 6. Ikke-påvirkelige omk.'!A1" display="Ikke-påvirkelige omkostninger"/>
    <hyperlink ref="D18:G18" location="'Fane 4.1. Gen. krav - drift'!A1" display="Generelt effektiviseringskrav på drift"/>
    <hyperlink ref="D20:G20" location="'Fane 5. Individuelt eff. krav'!A1" display="Individuelt effektiviseringskrav"/>
    <hyperlink ref="D19:G19" location="'Fane 4.2. Gen. krav - anlæg'!A1" display="Generelt effektiviseringskrav på anlæg"/>
    <hyperlink ref="D23:G23" location="'Fane 8. Skattesagen'!A1" display="Skattesagen"/>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2"/>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6" t="s">
        <v>111</v>
      </c>
      <c r="C3" s="116"/>
      <c r="D3" s="116"/>
      <c r="E3" s="1"/>
      <c r="F3" s="1"/>
    </row>
    <row r="4" spans="1:6" ht="15" customHeight="1" x14ac:dyDescent="0.25">
      <c r="A4" s="1"/>
      <c r="B4" s="116"/>
      <c r="C4" s="116"/>
      <c r="D4" s="116"/>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24" t="s">
        <v>200</v>
      </c>
      <c r="C8" s="125"/>
      <c r="D8" s="126"/>
      <c r="E8" s="1"/>
      <c r="F8" s="1"/>
    </row>
    <row r="9" spans="1:6" ht="15" customHeight="1" x14ac:dyDescent="0.25">
      <c r="A9" s="1"/>
      <c r="B9" s="27" t="s">
        <v>32</v>
      </c>
      <c r="C9" s="60" t="s">
        <v>242</v>
      </c>
      <c r="D9" s="11"/>
      <c r="E9" s="1"/>
      <c r="F9" s="1"/>
    </row>
    <row r="10" spans="1:6" x14ac:dyDescent="0.25">
      <c r="A10" s="1"/>
      <c r="B10" s="91" t="s">
        <v>268</v>
      </c>
      <c r="C10" s="9">
        <v>1162051</v>
      </c>
      <c r="D10" s="14" t="s">
        <v>3</v>
      </c>
      <c r="E10" s="1"/>
      <c r="F10" s="1"/>
    </row>
    <row r="11" spans="1:6" x14ac:dyDescent="0.25">
      <c r="A11" s="1"/>
      <c r="B11" s="91" t="s">
        <v>269</v>
      </c>
      <c r="C11" s="9">
        <v>73258</v>
      </c>
      <c r="D11" s="14" t="s">
        <v>3</v>
      </c>
      <c r="E11" s="1"/>
      <c r="F11" s="1"/>
    </row>
    <row r="12" spans="1:6" x14ac:dyDescent="0.25">
      <c r="A12" s="1"/>
      <c r="B12" s="91" t="s">
        <v>270</v>
      </c>
      <c r="C12" s="9">
        <v>78053</v>
      </c>
      <c r="D12" s="14" t="s">
        <v>3</v>
      </c>
      <c r="E12" s="1"/>
      <c r="F12" s="1"/>
    </row>
    <row r="13" spans="1:6" x14ac:dyDescent="0.25">
      <c r="A13" s="1"/>
      <c r="B13" s="91" t="s">
        <v>271</v>
      </c>
      <c r="C13" s="9">
        <v>15038</v>
      </c>
      <c r="D13" s="14" t="s">
        <v>3</v>
      </c>
      <c r="E13" s="1"/>
      <c r="F13" s="1"/>
    </row>
    <row r="14" spans="1:6" x14ac:dyDescent="0.25">
      <c r="A14" s="1"/>
      <c r="B14" s="91" t="s">
        <v>272</v>
      </c>
      <c r="C14" s="9">
        <v>136716.56</v>
      </c>
      <c r="D14" s="14" t="s">
        <v>3</v>
      </c>
      <c r="E14" s="1"/>
      <c r="F14" s="1"/>
    </row>
    <row r="15" spans="1:6" x14ac:dyDescent="0.25">
      <c r="A15" s="1"/>
      <c r="B15" s="33" t="s">
        <v>201</v>
      </c>
      <c r="C15" s="12">
        <f>SUM(C10:C14)</f>
        <v>1465116.56</v>
      </c>
      <c r="D15" s="13" t="s">
        <v>3</v>
      </c>
      <c r="E15" s="1"/>
      <c r="F15" s="1"/>
    </row>
    <row r="16" spans="1:6" x14ac:dyDescent="0.25">
      <c r="A16" s="1"/>
      <c r="B16" s="33" t="s">
        <v>202</v>
      </c>
      <c r="C16" s="12">
        <f>C15*(1+'Fane 15. Nøgletal'!C15)^2</f>
        <v>1571289.6891954818</v>
      </c>
      <c r="D16" s="13" t="s">
        <v>3</v>
      </c>
      <c r="E16" s="1"/>
      <c r="F16" s="1"/>
    </row>
    <row r="17" spans="1:6" x14ac:dyDescent="0.25">
      <c r="A17" s="1"/>
      <c r="B17" s="16"/>
      <c r="C17" s="15"/>
      <c r="D17" s="15"/>
      <c r="E17" s="1"/>
      <c r="F17" s="1"/>
    </row>
    <row r="18" spans="1:6" x14ac:dyDescent="0.25">
      <c r="A18" s="1"/>
      <c r="B18" s="16"/>
      <c r="C18" s="15"/>
      <c r="D18" s="15"/>
      <c r="E18" s="1"/>
      <c r="F18" s="1"/>
    </row>
    <row r="19" spans="1:6" x14ac:dyDescent="0.25">
      <c r="A19" s="1"/>
      <c r="B19" s="124" t="s">
        <v>117</v>
      </c>
      <c r="C19" s="125"/>
      <c r="D19" s="126"/>
      <c r="E19" s="1"/>
      <c r="F19" s="1"/>
    </row>
    <row r="20" spans="1:6" x14ac:dyDescent="0.25">
      <c r="A20" s="1"/>
      <c r="B20" s="91" t="s">
        <v>99</v>
      </c>
      <c r="C20" s="9">
        <v>0</v>
      </c>
      <c r="D20" s="14" t="s">
        <v>3</v>
      </c>
      <c r="E20" s="1"/>
      <c r="F20" s="1"/>
    </row>
    <row r="21" spans="1:6" x14ac:dyDescent="0.25">
      <c r="A21" s="1"/>
      <c r="B21" s="91" t="s">
        <v>129</v>
      </c>
      <c r="C21" s="9">
        <v>0</v>
      </c>
      <c r="D21" s="14" t="s">
        <v>3</v>
      </c>
      <c r="E21" s="1"/>
      <c r="F21" s="1"/>
    </row>
    <row r="22" spans="1:6" x14ac:dyDescent="0.25">
      <c r="A22" s="1"/>
      <c r="B22" s="91" t="s">
        <v>155</v>
      </c>
      <c r="C22" s="9">
        <v>0</v>
      </c>
      <c r="D22" s="14" t="s">
        <v>3</v>
      </c>
      <c r="E22" s="1"/>
      <c r="F22" s="1"/>
    </row>
    <row r="23" spans="1:6" x14ac:dyDescent="0.25">
      <c r="A23" s="1"/>
      <c r="B23" s="34" t="s">
        <v>203</v>
      </c>
      <c r="C23" s="9">
        <v>0</v>
      </c>
      <c r="D23" s="41" t="s">
        <v>3</v>
      </c>
      <c r="E23" s="1"/>
      <c r="F23" s="1"/>
    </row>
    <row r="24" spans="1:6" x14ac:dyDescent="0.25">
      <c r="A24" s="1"/>
      <c r="B24" s="124"/>
      <c r="C24" s="125"/>
      <c r="D24" s="126"/>
      <c r="E24" s="1"/>
      <c r="F24" s="1"/>
    </row>
    <row r="25" spans="1:6" x14ac:dyDescent="0.25">
      <c r="A25" s="1"/>
      <c r="B25" s="1"/>
      <c r="C25" s="1"/>
      <c r="D25" s="1"/>
      <c r="E25" s="1"/>
      <c r="F25" s="1"/>
    </row>
    <row r="26" spans="1:6" x14ac:dyDescent="0.25">
      <c r="A26" s="1"/>
      <c r="B26" s="1"/>
      <c r="C26" s="1"/>
      <c r="D26" s="1"/>
      <c r="E26" s="1"/>
      <c r="F26" s="1"/>
    </row>
    <row r="27" spans="1:6" x14ac:dyDescent="0.25">
      <c r="A27" s="1"/>
      <c r="B27" s="124" t="s">
        <v>98</v>
      </c>
      <c r="C27" s="125"/>
      <c r="D27" s="126"/>
      <c r="E27" s="1"/>
      <c r="F27" s="1"/>
    </row>
    <row r="28" spans="1:6" x14ac:dyDescent="0.25">
      <c r="A28" s="1"/>
      <c r="B28" s="91" t="s">
        <v>99</v>
      </c>
      <c r="C28" s="9">
        <v>0</v>
      </c>
      <c r="D28" s="14" t="s">
        <v>3</v>
      </c>
      <c r="E28" s="1"/>
      <c r="F28" s="1"/>
    </row>
    <row r="29" spans="1:6" x14ac:dyDescent="0.25">
      <c r="A29" s="1"/>
      <c r="B29" s="91" t="s">
        <v>129</v>
      </c>
      <c r="C29" s="9">
        <v>0</v>
      </c>
      <c r="D29" s="14" t="s">
        <v>3</v>
      </c>
      <c r="E29" s="1"/>
      <c r="F29" s="1"/>
    </row>
    <row r="30" spans="1:6" x14ac:dyDescent="0.25">
      <c r="A30" s="1"/>
      <c r="B30" s="91" t="s">
        <v>155</v>
      </c>
      <c r="C30" s="9">
        <v>0</v>
      </c>
      <c r="D30" s="14" t="s">
        <v>3</v>
      </c>
      <c r="E30" s="1"/>
      <c r="F30" s="1"/>
    </row>
    <row r="31" spans="1:6" x14ac:dyDescent="0.25">
      <c r="A31" s="1"/>
      <c r="B31" s="34" t="s">
        <v>203</v>
      </c>
      <c r="C31" s="9">
        <v>0</v>
      </c>
      <c r="D31" s="41" t="s">
        <v>3</v>
      </c>
      <c r="E31" s="1"/>
      <c r="F31" s="1"/>
    </row>
    <row r="32" spans="1:6" x14ac:dyDescent="0.25">
      <c r="A32" s="1"/>
      <c r="B32" s="124"/>
      <c r="C32" s="125"/>
      <c r="D32" s="126"/>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51"/>
      <c r="B49" s="51"/>
      <c r="C49" s="51"/>
      <c r="D49" s="51"/>
      <c r="E49" s="51"/>
      <c r="F49" s="51"/>
    </row>
    <row r="50" spans="1:6" x14ac:dyDescent="0.25">
      <c r="A50" s="51"/>
      <c r="B50" s="51"/>
      <c r="C50" s="51"/>
      <c r="D50" s="51"/>
      <c r="E50" s="51"/>
      <c r="F50" s="51"/>
    </row>
    <row r="51" spans="1:6" x14ac:dyDescent="0.25">
      <c r="A51" s="51"/>
      <c r="B51" s="51"/>
      <c r="C51" s="51"/>
      <c r="D51" s="51"/>
      <c r="E51" s="51"/>
      <c r="F51" s="51"/>
    </row>
    <row r="52" spans="1:6" x14ac:dyDescent="0.25">
      <c r="A52" s="51"/>
      <c r="B52" s="51"/>
      <c r="C52" s="51"/>
      <c r="D52" s="51"/>
      <c r="E52" s="51"/>
      <c r="F52" s="51"/>
    </row>
  </sheetData>
  <sheetProtection algorithmName="SHA-512" hashValue="Tq/AwZlmLJOb3tFD1jxba1qXlOk/efudkF74xkiwxZ4c15C7eOJCj5WSnQ8cLUP2Jk/eOUW9tvG9y7EO2PYoRw==" saltValue="a+zXE72ZM9lLdxeWb4UXjw==" spinCount="100000" sheet="1" objects="1" scenarios="1"/>
  <mergeCells count="6">
    <mergeCell ref="B32:D32"/>
    <mergeCell ref="B3:D4"/>
    <mergeCell ref="B8:D8"/>
    <mergeCell ref="B19:D19"/>
    <mergeCell ref="B27:D27"/>
    <mergeCell ref="B24:D24"/>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3"/>
  <sheetViews>
    <sheetView showGridLines="0" view="pageLayout" zoomScale="80" zoomScaleNormal="100" zoomScalePageLayoutView="8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8" width="10.85546875" style="2" bestFit="1" customWidth="1"/>
    <col min="9"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32" t="s">
        <v>204</v>
      </c>
      <c r="C3" s="132"/>
      <c r="D3" s="132"/>
      <c r="E3" s="132"/>
      <c r="F3" s="132"/>
      <c r="G3" s="1"/>
    </row>
    <row r="4" spans="1:7" ht="15" customHeight="1" x14ac:dyDescent="0.25">
      <c r="A4" s="1"/>
      <c r="B4" s="132"/>
      <c r="C4" s="132"/>
      <c r="D4" s="132"/>
      <c r="E4" s="132"/>
      <c r="F4" s="132"/>
      <c r="G4" s="1"/>
    </row>
    <row r="5" spans="1:7" ht="15" customHeight="1" x14ac:dyDescent="0.25">
      <c r="A5" s="1"/>
      <c r="B5" s="87"/>
      <c r="C5" s="87"/>
      <c r="D5" s="87"/>
      <c r="E5" s="87"/>
      <c r="F5" s="87"/>
      <c r="G5" s="1"/>
    </row>
    <row r="6" spans="1:7" ht="15" customHeight="1" x14ac:dyDescent="0.25">
      <c r="A6" s="1"/>
      <c r="B6" s="87"/>
      <c r="C6" s="87"/>
      <c r="D6" s="87"/>
      <c r="E6" s="87"/>
      <c r="F6" s="87"/>
      <c r="G6" s="1"/>
    </row>
    <row r="7" spans="1:7" x14ac:dyDescent="0.25">
      <c r="A7" s="1"/>
      <c r="B7" s="1"/>
      <c r="C7" s="1"/>
      <c r="D7" s="1"/>
      <c r="E7" s="1"/>
      <c r="F7" s="1"/>
      <c r="G7" s="1"/>
    </row>
    <row r="8" spans="1:7" x14ac:dyDescent="0.25">
      <c r="A8" s="1"/>
      <c r="B8" s="124" t="s">
        <v>178</v>
      </c>
      <c r="C8" s="125"/>
      <c r="D8" s="125"/>
      <c r="E8" s="125"/>
      <c r="F8" s="126"/>
      <c r="G8" s="1"/>
    </row>
    <row r="9" spans="1:7" x14ac:dyDescent="0.25">
      <c r="A9" s="1"/>
      <c r="B9" s="133" t="s">
        <v>205</v>
      </c>
      <c r="C9" s="134"/>
      <c r="D9" s="135"/>
      <c r="E9" s="9">
        <v>21369985.756021522</v>
      </c>
      <c r="F9" s="14" t="s">
        <v>3</v>
      </c>
      <c r="G9" s="1"/>
    </row>
    <row r="10" spans="1:7" x14ac:dyDescent="0.25">
      <c r="A10" s="1"/>
      <c r="B10" s="133" t="s">
        <v>265</v>
      </c>
      <c r="C10" s="134"/>
      <c r="D10" s="135"/>
      <c r="E10" s="9">
        <v>21369985.756021522</v>
      </c>
      <c r="F10" s="14" t="s">
        <v>3</v>
      </c>
      <c r="G10" s="1"/>
    </row>
    <row r="11" spans="1:7" x14ac:dyDescent="0.25">
      <c r="A11" s="1"/>
      <c r="B11" s="33"/>
      <c r="C11" s="28"/>
      <c r="D11" s="28"/>
      <c r="E11" s="28"/>
      <c r="F11" s="19"/>
      <c r="G11" s="1"/>
    </row>
    <row r="12" spans="1:7" ht="67.5" customHeight="1" x14ac:dyDescent="0.25">
      <c r="A12" s="1"/>
      <c r="B12" s="127" t="s">
        <v>266</v>
      </c>
      <c r="C12" s="128"/>
      <c r="D12" s="128"/>
      <c r="E12" s="128"/>
      <c r="F12" s="129"/>
      <c r="G12" s="1"/>
    </row>
    <row r="13" spans="1:7" ht="27" customHeight="1" x14ac:dyDescent="0.25">
      <c r="A13" s="1"/>
      <c r="B13" s="1"/>
      <c r="C13" s="1"/>
      <c r="D13" s="1"/>
      <c r="E13" s="1"/>
      <c r="F13" s="1"/>
      <c r="G13" s="1"/>
    </row>
    <row r="14" spans="1:7" ht="28.5" customHeight="1" x14ac:dyDescent="0.25">
      <c r="A14" s="1"/>
      <c r="B14" s="124" t="s">
        <v>179</v>
      </c>
      <c r="C14" s="125"/>
      <c r="D14" s="125"/>
      <c r="E14" s="125"/>
      <c r="F14" s="126"/>
      <c r="G14" s="1"/>
    </row>
    <row r="15" spans="1:7" x14ac:dyDescent="0.25">
      <c r="A15" s="1"/>
      <c r="B15" s="133" t="s">
        <v>286</v>
      </c>
      <c r="C15" s="134"/>
      <c r="D15" s="135"/>
      <c r="E15" s="9">
        <v>0</v>
      </c>
      <c r="F15" s="14" t="s">
        <v>3</v>
      </c>
      <c r="G15" s="1"/>
    </row>
    <row r="16" spans="1:7" x14ac:dyDescent="0.25">
      <c r="A16" s="1"/>
      <c r="B16" s="133" t="s">
        <v>287</v>
      </c>
      <c r="C16" s="134"/>
      <c r="D16" s="135"/>
      <c r="E16" s="9">
        <v>0</v>
      </c>
      <c r="F16" s="14" t="s">
        <v>3</v>
      </c>
      <c r="G16" s="1"/>
    </row>
    <row r="17" spans="1:7" x14ac:dyDescent="0.25">
      <c r="A17" s="1"/>
      <c r="B17" s="33"/>
      <c r="C17" s="28"/>
      <c r="D17" s="28"/>
      <c r="E17" s="28"/>
      <c r="F17" s="19"/>
      <c r="G17" s="1"/>
    </row>
    <row r="18" spans="1:7" ht="31.5" customHeight="1" x14ac:dyDescent="0.25">
      <c r="A18" s="1"/>
      <c r="B18" s="127" t="s">
        <v>180</v>
      </c>
      <c r="C18" s="128"/>
      <c r="D18" s="128"/>
      <c r="E18" s="128"/>
      <c r="F18" s="129"/>
      <c r="G18" s="1"/>
    </row>
    <row r="19" spans="1:7" ht="28.5" customHeight="1" x14ac:dyDescent="0.25">
      <c r="A19" s="1"/>
      <c r="B19" s="1"/>
      <c r="C19" s="1"/>
      <c r="D19" s="1"/>
      <c r="E19" s="1"/>
      <c r="F19" s="1"/>
      <c r="G19" s="1"/>
    </row>
    <row r="20" spans="1:7" ht="28.5" customHeight="1" x14ac:dyDescent="0.25">
      <c r="A20" s="1"/>
      <c r="B20" s="82" t="s">
        <v>206</v>
      </c>
      <c r="C20" s="83"/>
      <c r="D20" s="83"/>
      <c r="E20" s="83"/>
      <c r="F20" s="84"/>
      <c r="G20" s="1"/>
    </row>
    <row r="21" spans="1:7" x14ac:dyDescent="0.25">
      <c r="A21" s="1"/>
      <c r="B21" s="88" t="s">
        <v>207</v>
      </c>
      <c r="C21" s="89"/>
      <c r="D21" s="90"/>
      <c r="E21" s="9">
        <v>59302193.90393462</v>
      </c>
      <c r="F21" s="14" t="s">
        <v>3</v>
      </c>
      <c r="G21" s="1"/>
    </row>
    <row r="22" spans="1:7" x14ac:dyDescent="0.25">
      <c r="A22" s="1"/>
      <c r="B22" s="88" t="s">
        <v>208</v>
      </c>
      <c r="C22" s="89"/>
      <c r="D22" s="90"/>
      <c r="E22" s="9">
        <v>38392676</v>
      </c>
      <c r="F22" s="14" t="s">
        <v>3</v>
      </c>
      <c r="G22" s="1"/>
    </row>
    <row r="23" spans="1:7" x14ac:dyDescent="0.25">
      <c r="A23" s="1"/>
      <c r="B23" s="88" t="s">
        <v>33</v>
      </c>
      <c r="C23" s="89"/>
      <c r="D23" s="90"/>
      <c r="E23" s="9">
        <v>0</v>
      </c>
      <c r="F23" s="14" t="s">
        <v>3</v>
      </c>
      <c r="G23" s="1"/>
    </row>
    <row r="24" spans="1:7" x14ac:dyDescent="0.25">
      <c r="A24" s="1"/>
      <c r="B24" s="85" t="s">
        <v>273</v>
      </c>
      <c r="C24" s="86"/>
      <c r="D24" s="93"/>
      <c r="E24" s="75">
        <f>E21-(E22-E23)</f>
        <v>20909517.90393462</v>
      </c>
      <c r="F24" s="17" t="s">
        <v>3</v>
      </c>
      <c r="G24" s="1"/>
    </row>
    <row r="25" spans="1:7" x14ac:dyDescent="0.25">
      <c r="A25" s="1"/>
      <c r="B25" s="33"/>
      <c r="C25" s="28"/>
      <c r="D25" s="28"/>
      <c r="E25" s="28"/>
      <c r="F25" s="19"/>
      <c r="G25" s="1"/>
    </row>
    <row r="26" spans="1:7" x14ac:dyDescent="0.25">
      <c r="A26" s="1"/>
      <c r="B26" s="1"/>
      <c r="C26" s="1"/>
      <c r="D26" s="1"/>
      <c r="E26" s="1"/>
      <c r="F26" s="1"/>
      <c r="G26" s="1"/>
    </row>
    <row r="27" spans="1:7" x14ac:dyDescent="0.25">
      <c r="A27" s="1"/>
      <c r="B27" s="124" t="s">
        <v>288</v>
      </c>
      <c r="C27" s="125"/>
      <c r="D27" s="125"/>
      <c r="E27" s="125"/>
      <c r="F27" s="126"/>
      <c r="G27" s="1"/>
    </row>
    <row r="28" spans="1:7" x14ac:dyDescent="0.25">
      <c r="A28" s="1"/>
      <c r="B28" s="130" t="s">
        <v>289</v>
      </c>
      <c r="C28" s="131"/>
      <c r="D28" s="150"/>
      <c r="E28" s="76">
        <f>IF(AND(E9&gt;0,(E9+E24)&gt;0),0,IF(AND(E9&gt;0,(E9+E24)&lt;0),0,IF(AND(E9&lt;0,E24&gt;0,E10=0),0,IF(AND(E9&lt;0,E24&gt;0,ABS(E10)&lt;ABS(E24)),ABS(E16),IF(AND(E9&lt;0,E24&gt;0,ABS(E10)&gt;ABS(E24),ABS(E16)&gt;ABS(E24)),-(ABS(E16)-ABS(E24)),IF(AND(E9&lt;0,E24&gt;0,ABS(E10)&gt;ABS(E24),ABS(E16)&lt;ABS(E24)),E24-ABS(E16),IF(AND(E9&lt;0,E24&lt;0),E16,0)))))))</f>
        <v>0</v>
      </c>
      <c r="F28" s="17" t="s">
        <v>3</v>
      </c>
      <c r="G28" s="1"/>
    </row>
    <row r="29" spans="1:7" x14ac:dyDescent="0.25">
      <c r="A29" s="1"/>
      <c r="B29" s="124"/>
      <c r="C29" s="125"/>
      <c r="D29" s="125"/>
      <c r="E29" s="125"/>
      <c r="F29" s="126"/>
      <c r="G29" s="1"/>
    </row>
    <row r="30" spans="1:7" x14ac:dyDescent="0.25">
      <c r="A30" s="1"/>
      <c r="B30" s="1"/>
      <c r="C30" s="1"/>
      <c r="D30" s="1"/>
      <c r="E30" s="1"/>
      <c r="F30" s="1"/>
      <c r="G30" s="1"/>
    </row>
    <row r="31" spans="1:7" ht="28.5" customHeight="1" x14ac:dyDescent="0.25">
      <c r="A31" s="1"/>
      <c r="B31" s="124" t="s">
        <v>267</v>
      </c>
      <c r="C31" s="125"/>
      <c r="D31" s="125"/>
      <c r="E31" s="125"/>
      <c r="F31" s="126"/>
      <c r="G31" s="1"/>
    </row>
    <row r="32" spans="1:7" x14ac:dyDescent="0.25">
      <c r="A32" s="1"/>
      <c r="B32" s="151" t="s">
        <v>143</v>
      </c>
      <c r="C32" s="152"/>
      <c r="D32" s="153"/>
      <c r="E32" s="77">
        <f>IF(AND(E9&gt;0,(E9+E24)&gt;0),0,IF(AND(E9&gt;0,(E9+E24)&lt;0),(E9+E24),IF(AND(E9&lt;0,E24&lt;0),E24,0)))</f>
        <v>0</v>
      </c>
      <c r="F32" s="14" t="s">
        <v>3</v>
      </c>
      <c r="G32" s="1"/>
    </row>
    <row r="33" spans="1:7" x14ac:dyDescent="0.25">
      <c r="A33" s="1"/>
      <c r="B33" s="151" t="s">
        <v>102</v>
      </c>
      <c r="C33" s="152"/>
      <c r="D33" s="153"/>
      <c r="E33" s="9">
        <v>4</v>
      </c>
      <c r="F33" s="14" t="s">
        <v>20</v>
      </c>
      <c r="G33" s="1"/>
    </row>
    <row r="34" spans="1:7" x14ac:dyDescent="0.25">
      <c r="A34" s="1"/>
      <c r="B34" s="146" t="s">
        <v>144</v>
      </c>
      <c r="C34" s="146"/>
      <c r="D34" s="146"/>
      <c r="E34" s="76">
        <f>E32/E33</f>
        <v>0</v>
      </c>
      <c r="F34" s="17" t="s">
        <v>3</v>
      </c>
      <c r="G34" s="1"/>
    </row>
    <row r="35" spans="1:7" x14ac:dyDescent="0.25">
      <c r="A35" s="1"/>
      <c r="B35" s="147"/>
      <c r="C35" s="148"/>
      <c r="D35" s="148"/>
      <c r="E35" s="148"/>
      <c r="F35" s="149"/>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G40" s="1"/>
    </row>
    <row r="41" spans="1:7" x14ac:dyDescent="0.25">
      <c r="B41" s="51"/>
      <c r="C41" s="51"/>
      <c r="D41" s="51"/>
      <c r="E41" s="51"/>
      <c r="F41" s="51"/>
    </row>
    <row r="42" spans="1:7" x14ac:dyDescent="0.25">
      <c r="A42" s="51"/>
      <c r="B42" s="51"/>
      <c r="C42" s="51"/>
      <c r="D42" s="51"/>
      <c r="E42" s="51"/>
      <c r="F42" s="51"/>
      <c r="G42" s="51"/>
    </row>
    <row r="43" spans="1:7" x14ac:dyDescent="0.25">
      <c r="A43" s="51"/>
      <c r="B43" s="51"/>
      <c r="C43" s="51"/>
      <c r="D43" s="51"/>
      <c r="E43" s="51"/>
      <c r="F43" s="51"/>
      <c r="G43" s="51"/>
    </row>
  </sheetData>
  <sheetProtection algorithmName="SHA-512" hashValue="rRQlNnjjUc0BLDT6sJyRut+9TWQyDGyR9DRvyAFbSzw9caMxd4IfRc8CJK/O42ByeFfHZ0I9TcehL2+AVm73tw==" saltValue="YHmY8dYePcLgyQrZTVmcIg==" spinCount="100000" sheet="1" objects="1" scenarios="1"/>
  <mergeCells count="17">
    <mergeCell ref="B15:D15"/>
    <mergeCell ref="B16:D16"/>
    <mergeCell ref="B32:D32"/>
    <mergeCell ref="B29:F29"/>
    <mergeCell ref="B3:F4"/>
    <mergeCell ref="B8:F8"/>
    <mergeCell ref="B9:D9"/>
    <mergeCell ref="B10:D10"/>
    <mergeCell ref="B14:F14"/>
    <mergeCell ref="B12:F12"/>
    <mergeCell ref="B34:D34"/>
    <mergeCell ref="B35:F35"/>
    <mergeCell ref="B18:F18"/>
    <mergeCell ref="B27:F27"/>
    <mergeCell ref="B28:D28"/>
    <mergeCell ref="B31:F31"/>
    <mergeCell ref="B33:D33"/>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I43"/>
  <sheetViews>
    <sheetView view="pageLayout" zoomScaleNormal="100" workbookViewId="0"/>
  </sheetViews>
  <sheetFormatPr defaultColWidth="9.140625" defaultRowHeight="15" x14ac:dyDescent="0.25"/>
  <cols>
    <col min="1" max="1" width="4.7109375" style="71" customWidth="1"/>
    <col min="2" max="2" width="22.5703125" style="71" customWidth="1"/>
    <col min="3" max="3" width="8.28515625" style="71" customWidth="1"/>
    <col min="4" max="6" width="10.7109375" style="71" customWidth="1"/>
    <col min="7" max="7" width="11.140625" style="71" customWidth="1"/>
    <col min="8" max="8" width="3.28515625" style="71" customWidth="1"/>
    <col min="9" max="9" width="4.85546875" style="71" customWidth="1"/>
    <col min="10" max="16384" width="9.140625" style="71"/>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6" t="s">
        <v>252</v>
      </c>
      <c r="C3" s="116"/>
      <c r="D3" s="116"/>
      <c r="E3" s="116"/>
      <c r="F3" s="116"/>
      <c r="G3" s="116"/>
      <c r="H3" s="116"/>
      <c r="I3" s="1"/>
    </row>
    <row r="4" spans="1:9" ht="15" customHeight="1" x14ac:dyDescent="0.25">
      <c r="A4" s="1"/>
      <c r="B4" s="116"/>
      <c r="C4" s="116"/>
      <c r="D4" s="116"/>
      <c r="E4" s="116"/>
      <c r="F4" s="116"/>
      <c r="G4" s="116"/>
      <c r="H4" s="116"/>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24" t="s">
        <v>264</v>
      </c>
      <c r="C8" s="125"/>
      <c r="D8" s="125"/>
      <c r="E8" s="125"/>
      <c r="F8" s="125"/>
      <c r="G8" s="125"/>
      <c r="H8" s="126"/>
      <c r="I8" s="1"/>
    </row>
    <row r="9" spans="1:9" ht="15" customHeight="1" x14ac:dyDescent="0.25">
      <c r="A9" s="1"/>
      <c r="B9" s="121" t="s">
        <v>253</v>
      </c>
      <c r="C9" s="122"/>
      <c r="D9" s="122"/>
      <c r="E9" s="122"/>
      <c r="F9" s="122"/>
      <c r="G9" s="122"/>
      <c r="H9" s="123"/>
      <c r="I9" s="1"/>
    </row>
    <row r="10" spans="1:9" x14ac:dyDescent="0.25">
      <c r="A10" s="1"/>
      <c r="B10" s="154" t="s">
        <v>278</v>
      </c>
      <c r="C10" s="155"/>
      <c r="D10" s="155"/>
      <c r="E10" s="155"/>
      <c r="F10" s="156"/>
      <c r="G10" s="9">
        <v>0</v>
      </c>
      <c r="H10" s="9" t="s">
        <v>3</v>
      </c>
      <c r="I10" s="1"/>
    </row>
    <row r="11" spans="1:9" x14ac:dyDescent="0.25">
      <c r="A11" s="1"/>
      <c r="B11" s="154" t="s">
        <v>279</v>
      </c>
      <c r="C11" s="155"/>
      <c r="D11" s="155"/>
      <c r="E11" s="155"/>
      <c r="F11" s="156"/>
      <c r="G11" s="9">
        <v>0</v>
      </c>
      <c r="H11" s="9" t="s">
        <v>3</v>
      </c>
      <c r="I11" s="1"/>
    </row>
    <row r="12" spans="1:9" x14ac:dyDescent="0.25">
      <c r="A12" s="1"/>
      <c r="B12" s="154" t="s">
        <v>280</v>
      </c>
      <c r="C12" s="155"/>
      <c r="D12" s="155"/>
      <c r="E12" s="155"/>
      <c r="F12" s="156"/>
      <c r="G12" s="9">
        <v>0</v>
      </c>
      <c r="H12" s="9" t="s">
        <v>3</v>
      </c>
      <c r="I12" s="1"/>
    </row>
    <row r="13" spans="1:9" x14ac:dyDescent="0.25">
      <c r="A13" s="1"/>
      <c r="B13" s="154" t="s">
        <v>281</v>
      </c>
      <c r="C13" s="155"/>
      <c r="D13" s="155"/>
      <c r="E13" s="155"/>
      <c r="F13" s="156"/>
      <c r="G13" s="9">
        <v>0</v>
      </c>
      <c r="H13" s="9" t="s">
        <v>3</v>
      </c>
      <c r="I13" s="1"/>
    </row>
    <row r="14" spans="1:9" x14ac:dyDescent="0.25">
      <c r="A14" s="1"/>
      <c r="B14" s="154" t="s">
        <v>282</v>
      </c>
      <c r="C14" s="155"/>
      <c r="D14" s="155"/>
      <c r="E14" s="155"/>
      <c r="F14" s="156"/>
      <c r="G14" s="9">
        <v>0</v>
      </c>
      <c r="H14" s="9" t="s">
        <v>3</v>
      </c>
      <c r="I14" s="1"/>
    </row>
    <row r="15" spans="1:9" x14ac:dyDescent="0.25">
      <c r="A15" s="1"/>
      <c r="B15" s="154" t="s">
        <v>283</v>
      </c>
      <c r="C15" s="155"/>
      <c r="D15" s="155"/>
      <c r="E15" s="155"/>
      <c r="F15" s="156"/>
      <c r="G15" s="9">
        <v>0</v>
      </c>
      <c r="H15" s="9" t="s">
        <v>3</v>
      </c>
      <c r="I15" s="1"/>
    </row>
    <row r="16" spans="1:9" x14ac:dyDescent="0.25">
      <c r="A16" s="1"/>
      <c r="B16" s="154" t="s">
        <v>284</v>
      </c>
      <c r="C16" s="155"/>
      <c r="D16" s="155"/>
      <c r="E16" s="155"/>
      <c r="F16" s="156"/>
      <c r="G16" s="9">
        <v>0</v>
      </c>
      <c r="H16" s="9" t="s">
        <v>3</v>
      </c>
      <c r="I16" s="1"/>
    </row>
    <row r="17" spans="1:9" x14ac:dyDescent="0.25">
      <c r="A17" s="1"/>
      <c r="B17" s="154" t="s">
        <v>285</v>
      </c>
      <c r="C17" s="155"/>
      <c r="D17" s="155"/>
      <c r="E17" s="155"/>
      <c r="F17" s="156"/>
      <c r="G17" s="9">
        <v>0</v>
      </c>
      <c r="H17" s="9" t="s">
        <v>3</v>
      </c>
      <c r="I17" s="1"/>
    </row>
    <row r="18" spans="1:9" x14ac:dyDescent="0.25">
      <c r="A18" s="1"/>
      <c r="B18" s="124" t="s">
        <v>254</v>
      </c>
      <c r="C18" s="125"/>
      <c r="D18" s="125"/>
      <c r="E18" s="125"/>
      <c r="F18" s="126"/>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sheetData>
  <sheetProtection algorithmName="SHA-512" hashValue="INwFi2p1kyeZfBQMIbTKY/+48YDcnra8/i4a9WgNwdwXKeKBV1Nu9it0Tb5nUymUSxIbkrTIBUtjQCnohy2XQQ==" saltValue="C6HDnmDLZ0gTw463xpvvmw==" spinCount="100000" sheet="1" objects="1" scenarios="1"/>
  <mergeCells count="12">
    <mergeCell ref="B17:F17"/>
    <mergeCell ref="B18:F18"/>
    <mergeCell ref="B12:F12"/>
    <mergeCell ref="B13:F13"/>
    <mergeCell ref="B14:F14"/>
    <mergeCell ref="B15:F15"/>
    <mergeCell ref="B16:F16"/>
    <mergeCell ref="B11:F11"/>
    <mergeCell ref="B10:F10"/>
    <mergeCell ref="B9:H9"/>
    <mergeCell ref="B3:H4"/>
    <mergeCell ref="B8:H8"/>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32" t="s">
        <v>256</v>
      </c>
      <c r="C3" s="132"/>
      <c r="D3" s="132"/>
      <c r="E3" s="132"/>
      <c r="F3" s="132"/>
      <c r="G3" s="1"/>
    </row>
    <row r="4" spans="1:7" ht="15" customHeight="1" x14ac:dyDescent="0.25">
      <c r="A4" s="1"/>
      <c r="B4" s="132"/>
      <c r="C4" s="132"/>
      <c r="D4" s="132"/>
      <c r="E4" s="132"/>
      <c r="F4" s="13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24" t="s">
        <v>209</v>
      </c>
      <c r="C9" s="125"/>
      <c r="D9" s="125"/>
      <c r="E9" s="125"/>
      <c r="F9" s="126"/>
      <c r="G9" s="1"/>
    </row>
    <row r="10" spans="1:7" x14ac:dyDescent="0.25">
      <c r="A10" s="1"/>
      <c r="B10" s="127" t="s">
        <v>100</v>
      </c>
      <c r="C10" s="128"/>
      <c r="D10" s="129"/>
      <c r="E10" s="7">
        <v>305785.40527436888</v>
      </c>
      <c r="F10" s="8" t="s">
        <v>3</v>
      </c>
      <c r="G10" s="1"/>
    </row>
    <row r="11" spans="1:7" x14ac:dyDescent="0.25">
      <c r="A11" s="1"/>
      <c r="B11" s="133" t="s">
        <v>210</v>
      </c>
      <c r="C11" s="134"/>
      <c r="D11" s="135"/>
      <c r="E11" s="7">
        <v>0</v>
      </c>
      <c r="F11" s="8" t="s">
        <v>3</v>
      </c>
      <c r="G11" s="1"/>
    </row>
    <row r="12" spans="1:7" x14ac:dyDescent="0.25">
      <c r="A12" s="1"/>
      <c r="B12" s="130" t="s">
        <v>101</v>
      </c>
      <c r="C12" s="131"/>
      <c r="D12" s="150"/>
      <c r="E12" s="10">
        <f>E11-E10</f>
        <v>-305785.40527436888</v>
      </c>
      <c r="F12" s="11" t="s">
        <v>3</v>
      </c>
      <c r="G12" s="1"/>
    </row>
    <row r="13" spans="1:7" x14ac:dyDescent="0.25">
      <c r="A13" s="1"/>
      <c r="B13" s="124" t="s">
        <v>94</v>
      </c>
      <c r="C13" s="125"/>
      <c r="D13" s="125"/>
      <c r="E13" s="125"/>
      <c r="F13" s="126"/>
      <c r="G13" s="1"/>
    </row>
    <row r="14" spans="1:7" x14ac:dyDescent="0.25">
      <c r="A14" s="1"/>
      <c r="B14" s="133" t="s">
        <v>211</v>
      </c>
      <c r="C14" s="134"/>
      <c r="D14" s="135"/>
      <c r="E14" s="9">
        <v>0</v>
      </c>
      <c r="F14" s="8" t="s">
        <v>3</v>
      </c>
      <c r="G14" s="1"/>
    </row>
    <row r="15" spans="1:7" x14ac:dyDescent="0.25">
      <c r="A15" s="1"/>
      <c r="B15" s="127" t="s">
        <v>212</v>
      </c>
      <c r="C15" s="128"/>
      <c r="D15" s="129"/>
      <c r="E15" s="9">
        <v>0</v>
      </c>
      <c r="F15" s="8" t="s">
        <v>3</v>
      </c>
      <c r="G15" s="1"/>
    </row>
    <row r="16" spans="1:7" x14ac:dyDescent="0.25">
      <c r="A16" s="1"/>
      <c r="B16" s="130" t="s">
        <v>101</v>
      </c>
      <c r="C16" s="131"/>
      <c r="D16" s="150"/>
      <c r="E16" s="10">
        <f>E15-E14</f>
        <v>0</v>
      </c>
      <c r="F16" s="11" t="s">
        <v>3</v>
      </c>
      <c r="G16" s="1"/>
    </row>
    <row r="17" spans="1:7" x14ac:dyDescent="0.25">
      <c r="A17" s="1"/>
      <c r="B17" s="33" t="s">
        <v>213</v>
      </c>
      <c r="C17" s="28"/>
      <c r="D17" s="28"/>
      <c r="E17" s="12">
        <f>E12+E16</f>
        <v>-305785.40527436888</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QqS+J5bgSop1ueenJ4jy7oRyjOUxPwyd9DTt0AdLK65rXyOs3JKIZ2yqIUOi82jzrsWKZXKTT9/j4JB1YyUzzw==" saltValue="lpBZWA5/+pRdGuCXViFG5A=="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6" t="s">
        <v>257</v>
      </c>
      <c r="C3" s="116"/>
      <c r="D3" s="116"/>
      <c r="E3" s="116"/>
      <c r="F3" s="116"/>
      <c r="G3" s="116"/>
      <c r="H3" s="116"/>
      <c r="I3" s="116"/>
      <c r="J3" s="116"/>
      <c r="K3" s="116"/>
      <c r="L3" s="1"/>
    </row>
    <row r="4" spans="1:12" ht="15" customHeight="1" x14ac:dyDescent="0.25">
      <c r="A4" s="1"/>
      <c r="B4" s="116"/>
      <c r="C4" s="116"/>
      <c r="D4" s="116"/>
      <c r="E4" s="116"/>
      <c r="F4" s="116"/>
      <c r="G4" s="116"/>
      <c r="H4" s="116"/>
      <c r="I4" s="116"/>
      <c r="J4" s="116"/>
      <c r="K4" s="116"/>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24" t="s">
        <v>221</v>
      </c>
      <c r="C8" s="125"/>
      <c r="D8" s="125"/>
      <c r="E8" s="125"/>
      <c r="F8" s="125"/>
      <c r="G8" s="125"/>
      <c r="H8" s="125"/>
      <c r="I8" s="125"/>
      <c r="J8" s="125"/>
      <c r="K8" s="126"/>
      <c r="L8" s="1"/>
    </row>
    <row r="9" spans="1:12" ht="39.75" customHeight="1" x14ac:dyDescent="0.25">
      <c r="A9" s="1"/>
      <c r="B9" s="18" t="s">
        <v>0</v>
      </c>
      <c r="C9" s="18" t="s">
        <v>1</v>
      </c>
      <c r="D9" s="157" t="s">
        <v>247</v>
      </c>
      <c r="E9" s="158"/>
      <c r="F9" s="157" t="s">
        <v>2</v>
      </c>
      <c r="G9" s="158"/>
      <c r="H9" s="157" t="s">
        <v>246</v>
      </c>
      <c r="I9" s="158"/>
      <c r="J9" s="157" t="s">
        <v>30</v>
      </c>
      <c r="K9" s="158"/>
      <c r="L9" s="1"/>
    </row>
    <row r="10" spans="1:12" x14ac:dyDescent="0.25">
      <c r="A10" s="1"/>
      <c r="B10" s="94" t="s">
        <v>276</v>
      </c>
      <c r="C10" s="42">
        <v>0</v>
      </c>
      <c r="D10" s="9">
        <v>0</v>
      </c>
      <c r="E10" s="14" t="s">
        <v>3</v>
      </c>
      <c r="F10" s="9">
        <f>IFERROR(D10/C10,0)</f>
        <v>0</v>
      </c>
      <c r="G10" s="14" t="s">
        <v>3</v>
      </c>
      <c r="H10" s="45">
        <v>0</v>
      </c>
      <c r="I10" s="14" t="s">
        <v>3</v>
      </c>
      <c r="J10" s="45">
        <v>0</v>
      </c>
      <c r="K10" s="14" t="s">
        <v>3</v>
      </c>
      <c r="L10" s="1"/>
    </row>
    <row r="11" spans="1:12" x14ac:dyDescent="0.25">
      <c r="A11" s="1"/>
      <c r="B11" s="82" t="s">
        <v>222</v>
      </c>
      <c r="C11" s="83"/>
      <c r="D11" s="84"/>
      <c r="E11" s="84"/>
      <c r="F11" s="12">
        <f>SUM(F10:F10)</f>
        <v>0</v>
      </c>
      <c r="G11" s="12" t="s">
        <v>245</v>
      </c>
      <c r="H11" s="12">
        <f>SUM(H10:H10)</f>
        <v>0</v>
      </c>
      <c r="I11" s="12" t="s">
        <v>245</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dEcS7VSzKbuj1nHCDd7H1NlxQn3tsRF84MUW2bVAmdZlCPfdQ9rXntGzw4bNEKh2Lt7XyLqn6DqTvRnj0beCZQ==" saltValue="YEgeWcSMG5kWsNa8Cb+1Jg=="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6" t="s">
        <v>258</v>
      </c>
      <c r="C3" s="116"/>
      <c r="D3" s="116"/>
      <c r="E3" s="116"/>
      <c r="F3" s="116"/>
      <c r="G3" s="1"/>
    </row>
    <row r="4" spans="1:7" ht="15" customHeight="1" x14ac:dyDescent="0.25">
      <c r="A4" s="1"/>
      <c r="B4" s="116"/>
      <c r="C4" s="116"/>
      <c r="D4" s="116"/>
      <c r="E4" s="116"/>
      <c r="F4" s="11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80</v>
      </c>
      <c r="C8" s="28"/>
      <c r="D8" s="28"/>
      <c r="E8" s="28"/>
      <c r="F8" s="19"/>
      <c r="G8" s="1"/>
    </row>
    <row r="9" spans="1:7" ht="17.25" customHeight="1" x14ac:dyDescent="0.25">
      <c r="A9" s="1"/>
      <c r="B9" s="80" t="s">
        <v>17</v>
      </c>
      <c r="C9" s="80" t="s">
        <v>11</v>
      </c>
      <c r="D9" s="81"/>
      <c r="E9" s="80" t="s">
        <v>31</v>
      </c>
      <c r="F9" s="32"/>
      <c r="G9" s="1"/>
    </row>
    <row r="10" spans="1:7" x14ac:dyDescent="0.25">
      <c r="A10" s="1"/>
      <c r="B10" s="24" t="s">
        <v>228</v>
      </c>
      <c r="C10" s="21">
        <f>'Fane 10. Anlægsprojekter (§ 19)'!H11</f>
        <v>0</v>
      </c>
      <c r="D10" s="14" t="s">
        <v>3</v>
      </c>
      <c r="E10" s="9">
        <f>SUM('Fane 10. Anlægsprojekter (§ 19)'!F11,'Fane 10. Anlægsprojekter (§ 19)'!J11)</f>
        <v>0</v>
      </c>
      <c r="F10" s="14" t="s">
        <v>3</v>
      </c>
      <c r="G10" s="1"/>
    </row>
    <row r="11" spans="1:7" x14ac:dyDescent="0.25">
      <c r="A11" s="1"/>
      <c r="B11" s="24" t="s">
        <v>274</v>
      </c>
      <c r="C11" s="21">
        <v>0</v>
      </c>
      <c r="D11" s="14" t="s">
        <v>3</v>
      </c>
      <c r="E11" s="9">
        <v>0</v>
      </c>
      <c r="F11" s="14" t="s">
        <v>3</v>
      </c>
      <c r="G11" s="1"/>
    </row>
    <row r="12" spans="1:7" x14ac:dyDescent="0.25">
      <c r="A12" s="1"/>
      <c r="B12" s="33" t="s">
        <v>156</v>
      </c>
      <c r="C12" s="12">
        <f>SUM(C10:C11)</f>
        <v>0</v>
      </c>
      <c r="D12" s="13" t="s">
        <v>3</v>
      </c>
      <c r="E12" s="12">
        <f>SUM(E10:E11)</f>
        <v>0</v>
      </c>
      <c r="F12" s="13" t="s">
        <v>3</v>
      </c>
      <c r="G12" s="1"/>
    </row>
    <row r="13" spans="1:7" x14ac:dyDescent="0.25">
      <c r="A13" s="1"/>
      <c r="B13" s="33" t="s">
        <v>214</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ha8YTenu6uBG6VVyIyWej099LSZzZsReos7gqb4kjFEc4jFWd4MhEEmFxasa+EHzjn9Mn2Q8mFCVVngR6GWbTw==" saltValue="9gd4aoOUg48cLMKVBD6rtQ=="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6"/>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6" t="s">
        <v>259</v>
      </c>
      <c r="C3" s="116"/>
      <c r="D3" s="116"/>
      <c r="E3" s="116"/>
      <c r="F3" s="116"/>
      <c r="G3" s="1"/>
    </row>
    <row r="4" spans="1:7" ht="15" customHeight="1" x14ac:dyDescent="0.25">
      <c r="A4" s="1"/>
      <c r="B4" s="116"/>
      <c r="C4" s="116"/>
      <c r="D4" s="116"/>
      <c r="E4" s="116"/>
      <c r="F4" s="11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4" t="s">
        <v>97</v>
      </c>
      <c r="C8" s="125"/>
      <c r="D8" s="125"/>
      <c r="E8" s="125"/>
      <c r="F8" s="126"/>
      <c r="G8" s="1"/>
    </row>
    <row r="9" spans="1:7" x14ac:dyDescent="0.25">
      <c r="A9" s="1"/>
      <c r="B9" s="80" t="s">
        <v>17</v>
      </c>
      <c r="C9" s="80" t="s">
        <v>11</v>
      </c>
      <c r="D9" s="81"/>
      <c r="E9" s="80" t="s">
        <v>31</v>
      </c>
      <c r="F9" s="32"/>
      <c r="G9" s="1"/>
    </row>
    <row r="10" spans="1:7" x14ac:dyDescent="0.25">
      <c r="A10" s="1"/>
      <c r="B10" s="24" t="s">
        <v>275</v>
      </c>
      <c r="C10" s="21">
        <v>0</v>
      </c>
      <c r="D10" s="14" t="s">
        <v>3</v>
      </c>
      <c r="E10" s="9">
        <v>0</v>
      </c>
      <c r="F10" s="14" t="s">
        <v>3</v>
      </c>
      <c r="G10" s="1"/>
    </row>
    <row r="11" spans="1:7" x14ac:dyDescent="0.25">
      <c r="A11" s="1"/>
      <c r="B11" s="33" t="s">
        <v>234</v>
      </c>
      <c r="C11" s="12">
        <f>SUM(C10:C10)</f>
        <v>0</v>
      </c>
      <c r="D11" s="13" t="s">
        <v>3</v>
      </c>
      <c r="E11" s="12">
        <f>SUM(E10:E10)</f>
        <v>0</v>
      </c>
      <c r="F11" s="13" t="s">
        <v>3</v>
      </c>
      <c r="G11" s="1"/>
    </row>
    <row r="12" spans="1:7" x14ac:dyDescent="0.25">
      <c r="A12" s="1"/>
      <c r="B12" s="33" t="s">
        <v>136</v>
      </c>
      <c r="C12" s="12">
        <f>C11*(1+'Fane 15. Nøgletal'!C15)^2</f>
        <v>0</v>
      </c>
      <c r="D12" s="13" t="s">
        <v>3</v>
      </c>
      <c r="E12" s="12">
        <f>E11*(1+'Fane 15. Nøgletal'!C15)^2</f>
        <v>0</v>
      </c>
      <c r="F12" s="13" t="s">
        <v>3</v>
      </c>
      <c r="G12" s="1"/>
    </row>
    <row r="13" spans="1:7" x14ac:dyDescent="0.25">
      <c r="A13" s="1"/>
      <c r="B13" s="1"/>
      <c r="C13" s="1"/>
      <c r="D13" s="1"/>
      <c r="E13" s="1"/>
      <c r="F13" s="1"/>
      <c r="G13" s="1"/>
    </row>
    <row r="14" spans="1:7" x14ac:dyDescent="0.25">
      <c r="A14" s="1"/>
      <c r="B14" s="159"/>
      <c r="C14" s="159"/>
      <c r="D14" s="159"/>
      <c r="E14" s="159"/>
      <c r="F14" s="159"/>
      <c r="G14" s="1"/>
    </row>
    <row r="15" spans="1:7" x14ac:dyDescent="0.25">
      <c r="A15" s="1"/>
      <c r="B15" s="62"/>
      <c r="C15" s="62"/>
      <c r="D15" s="62"/>
      <c r="E15" s="62"/>
      <c r="F15" s="63"/>
      <c r="G15" s="1"/>
    </row>
    <row r="16" spans="1:7" x14ac:dyDescent="0.25">
      <c r="A16" s="1"/>
      <c r="B16" s="64"/>
      <c r="C16" s="65"/>
      <c r="D16" s="66"/>
      <c r="E16" s="67"/>
      <c r="F16" s="66"/>
      <c r="G16" s="1"/>
    </row>
    <row r="17" spans="1:7" x14ac:dyDescent="0.25">
      <c r="A17" s="1"/>
      <c r="B17" s="64"/>
      <c r="C17" s="65"/>
      <c r="D17" s="66"/>
      <c r="E17" s="67"/>
      <c r="F17" s="66"/>
      <c r="G17" s="1"/>
    </row>
    <row r="18" spans="1:7" x14ac:dyDescent="0.25">
      <c r="A18" s="1"/>
      <c r="B18" s="68"/>
      <c r="C18" s="69"/>
      <c r="D18" s="70"/>
      <c r="E18" s="69"/>
      <c r="F18" s="70"/>
      <c r="G18" s="1"/>
    </row>
    <row r="19" spans="1:7" x14ac:dyDescent="0.25">
      <c r="A19" s="1"/>
      <c r="B19" s="68"/>
      <c r="C19" s="69"/>
      <c r="D19" s="70"/>
      <c r="E19" s="69"/>
      <c r="F19" s="70"/>
      <c r="G19" s="1"/>
    </row>
    <row r="20" spans="1:7" x14ac:dyDescent="0.25">
      <c r="A20" s="1"/>
      <c r="B20" s="61"/>
      <c r="C20" s="61"/>
      <c r="D20" s="61"/>
      <c r="E20" s="61"/>
      <c r="F20" s="61"/>
      <c r="G20" s="1"/>
    </row>
    <row r="21" spans="1:7" x14ac:dyDescent="0.25">
      <c r="A21" s="1"/>
      <c r="B21" s="159"/>
      <c r="C21" s="159"/>
      <c r="D21" s="159"/>
      <c r="E21" s="159"/>
      <c r="F21" s="159"/>
      <c r="G21" s="1"/>
    </row>
    <row r="22" spans="1:7" x14ac:dyDescent="0.25">
      <c r="A22" s="1"/>
      <c r="B22" s="62"/>
      <c r="C22" s="62"/>
      <c r="D22" s="62"/>
      <c r="E22" s="62"/>
      <c r="F22" s="63"/>
      <c r="G22" s="1"/>
    </row>
    <row r="23" spans="1:7" x14ac:dyDescent="0.25">
      <c r="A23" s="1"/>
      <c r="B23" s="64"/>
      <c r="C23" s="65"/>
      <c r="D23" s="66"/>
      <c r="E23" s="67"/>
      <c r="F23" s="66"/>
      <c r="G23" s="1"/>
    </row>
    <row r="24" spans="1:7" x14ac:dyDescent="0.25">
      <c r="A24" s="1"/>
      <c r="B24" s="64"/>
      <c r="C24" s="65"/>
      <c r="D24" s="66"/>
      <c r="E24" s="67"/>
      <c r="F24" s="66"/>
      <c r="G24" s="1"/>
    </row>
    <row r="25" spans="1:7" x14ac:dyDescent="0.25">
      <c r="A25" s="1"/>
      <c r="B25" s="68"/>
      <c r="C25" s="69"/>
      <c r="D25" s="70"/>
      <c r="E25" s="69"/>
      <c r="F25" s="70"/>
      <c r="G25" s="1"/>
    </row>
    <row r="26" spans="1:7" x14ac:dyDescent="0.25">
      <c r="A26" s="1"/>
      <c r="B26" s="68"/>
      <c r="C26" s="69"/>
      <c r="D26" s="70"/>
      <c r="E26" s="69"/>
      <c r="F26" s="70"/>
      <c r="G26" s="1"/>
    </row>
    <row r="27" spans="1:7" x14ac:dyDescent="0.25">
      <c r="A27" s="1"/>
      <c r="B27" s="61"/>
      <c r="C27" s="61"/>
      <c r="D27" s="61"/>
      <c r="E27" s="61"/>
      <c r="F27" s="61"/>
      <c r="G27" s="1"/>
    </row>
    <row r="28" spans="1:7" x14ac:dyDescent="0.25">
      <c r="A28" s="1"/>
      <c r="B28" s="159"/>
      <c r="C28" s="159"/>
      <c r="D28" s="159"/>
      <c r="E28" s="159"/>
      <c r="F28" s="159"/>
      <c r="G28" s="1"/>
    </row>
    <row r="29" spans="1:7" x14ac:dyDescent="0.25">
      <c r="A29" s="1"/>
      <c r="B29" s="62"/>
      <c r="C29" s="62"/>
      <c r="D29" s="62"/>
      <c r="E29" s="62"/>
      <c r="F29" s="63"/>
      <c r="G29" s="1"/>
    </row>
    <row r="30" spans="1:7" x14ac:dyDescent="0.25">
      <c r="A30" s="1"/>
      <c r="B30" s="64"/>
      <c r="C30" s="65"/>
      <c r="D30" s="66"/>
      <c r="E30" s="67"/>
      <c r="F30" s="66"/>
      <c r="G30" s="1"/>
    </row>
    <row r="31" spans="1:7" x14ac:dyDescent="0.25">
      <c r="A31" s="1"/>
      <c r="B31" s="64"/>
      <c r="C31" s="65"/>
      <c r="D31" s="66"/>
      <c r="E31" s="67"/>
      <c r="F31" s="66"/>
      <c r="G31" s="1"/>
    </row>
    <row r="32" spans="1:7" x14ac:dyDescent="0.25">
      <c r="A32" s="1"/>
      <c r="B32" s="68"/>
      <c r="C32" s="69"/>
      <c r="D32" s="70"/>
      <c r="E32" s="69"/>
      <c r="F32" s="70"/>
      <c r="G32" s="1"/>
    </row>
    <row r="33" spans="1:7" x14ac:dyDescent="0.25">
      <c r="A33" s="1"/>
      <c r="B33" s="68"/>
      <c r="C33" s="69"/>
      <c r="D33" s="70"/>
      <c r="E33" s="69"/>
      <c r="F33" s="70"/>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sheetData>
  <sheetProtection algorithmName="SHA-512" hashValue="oEh5YXSemkikL82QzxwAwlDM8JQ7hHl9R3+jaBXpU0emEqUB+k8OpKHWCyfI4WT212P0eA3FJ6oClJU9OV1hcA==" saltValue="VEmXNvaX+zIw+WEsCktIRQ==" spinCount="100000" sheet="1" objects="1" scenarios="1"/>
  <mergeCells count="5">
    <mergeCell ref="B28:F28"/>
    <mergeCell ref="B3:F4"/>
    <mergeCell ref="B8:F8"/>
    <mergeCell ref="B14:F14"/>
    <mergeCell ref="B21:F2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2" t="s">
        <v>260</v>
      </c>
      <c r="C3" s="132"/>
      <c r="D3" s="132"/>
      <c r="E3" s="132"/>
      <c r="F3" s="132"/>
      <c r="G3" s="1"/>
    </row>
    <row r="4" spans="1:7" ht="15" customHeight="1" x14ac:dyDescent="0.25">
      <c r="A4" s="1"/>
      <c r="B4" s="132"/>
      <c r="C4" s="132"/>
      <c r="D4" s="132"/>
      <c r="E4" s="132"/>
      <c r="F4" s="132"/>
      <c r="G4" s="1"/>
    </row>
    <row r="5" spans="1:7" x14ac:dyDescent="0.25">
      <c r="A5" s="1"/>
      <c r="B5" s="132"/>
      <c r="C5" s="132"/>
      <c r="D5" s="132"/>
      <c r="E5" s="132"/>
      <c r="F5" s="132"/>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24" t="s">
        <v>91</v>
      </c>
      <c r="C9" s="125"/>
      <c r="D9" s="125"/>
      <c r="E9" s="125"/>
      <c r="F9" s="126"/>
      <c r="G9" s="1"/>
    </row>
    <row r="10" spans="1:7" x14ac:dyDescent="0.25">
      <c r="A10" s="1"/>
      <c r="B10" s="154" t="s">
        <v>226</v>
      </c>
      <c r="C10" s="155"/>
      <c r="D10" s="156"/>
      <c r="E10" s="9">
        <v>238893.34928784965</v>
      </c>
      <c r="F10" s="14" t="s">
        <v>3</v>
      </c>
      <c r="G10" s="1"/>
    </row>
    <row r="11" spans="1:7" x14ac:dyDescent="0.25">
      <c r="A11" s="1"/>
      <c r="B11" s="118" t="s">
        <v>10</v>
      </c>
      <c r="C11" s="119"/>
      <c r="D11" s="120"/>
      <c r="E11" s="9">
        <f>-E10*'Fane 5. Individuelt eff. krav'!G9</f>
        <v>-439.01207129887592</v>
      </c>
      <c r="F11" s="14" t="s">
        <v>3</v>
      </c>
      <c r="G11" s="1"/>
    </row>
    <row r="12" spans="1:7" x14ac:dyDescent="0.25">
      <c r="A12" s="1"/>
      <c r="B12" s="118" t="s">
        <v>24</v>
      </c>
      <c r="C12" s="119"/>
      <c r="D12" s="120"/>
      <c r="E12" s="9">
        <f>-E10*'Fane 15. Nøgletal'!C31</f>
        <v>-4777.866985756993</v>
      </c>
      <c r="F12" s="14" t="s">
        <v>3</v>
      </c>
      <c r="G12" s="1"/>
    </row>
    <row r="13" spans="1:7" x14ac:dyDescent="0.25">
      <c r="A13" s="1"/>
      <c r="B13" s="124" t="s">
        <v>92</v>
      </c>
      <c r="C13" s="125"/>
      <c r="D13" s="126"/>
      <c r="E13" s="12">
        <f>SUM(E10:E12)*(1+'Fane 15. Nøgletal'!C15)^2</f>
        <v>250610.38712253803</v>
      </c>
      <c r="F13" s="13" t="s">
        <v>3</v>
      </c>
      <c r="G13" s="1"/>
    </row>
    <row r="14" spans="1:7" x14ac:dyDescent="0.25">
      <c r="A14" s="1"/>
      <c r="B14" s="1"/>
      <c r="C14" s="1"/>
      <c r="D14" s="1"/>
      <c r="E14" s="1"/>
      <c r="F14" s="1"/>
      <c r="G14" s="1"/>
    </row>
    <row r="15" spans="1:7" ht="15" customHeight="1" x14ac:dyDescent="0.25">
      <c r="A15" s="1"/>
      <c r="B15" s="124" t="s">
        <v>130</v>
      </c>
      <c r="C15" s="125"/>
      <c r="D15" s="125"/>
      <c r="E15" s="125"/>
      <c r="F15" s="126"/>
      <c r="G15" s="1"/>
    </row>
    <row r="16" spans="1:7" x14ac:dyDescent="0.25">
      <c r="A16" s="1"/>
      <c r="B16" s="154" t="s">
        <v>226</v>
      </c>
      <c r="C16" s="155"/>
      <c r="D16" s="156"/>
      <c r="E16" s="9">
        <v>208865.18888574623</v>
      </c>
      <c r="F16" s="14" t="s">
        <v>3</v>
      </c>
      <c r="G16" s="1"/>
    </row>
    <row r="17" spans="1:7" x14ac:dyDescent="0.25">
      <c r="A17" s="1"/>
      <c r="B17" s="118" t="s">
        <v>10</v>
      </c>
      <c r="C17" s="119"/>
      <c r="D17" s="120"/>
      <c r="E17" s="9">
        <f>-E16*'Fane 5. Individuelt eff. krav'!G9</f>
        <v>-383.82960207266882</v>
      </c>
      <c r="F17" s="14" t="s">
        <v>3</v>
      </c>
      <c r="G17" s="1"/>
    </row>
    <row r="18" spans="1:7" x14ac:dyDescent="0.25">
      <c r="A18" s="1"/>
      <c r="B18" s="118" t="s">
        <v>24</v>
      </c>
      <c r="C18" s="119"/>
      <c r="D18" s="120"/>
      <c r="E18" s="9">
        <f>-E16*'Fane 15. Nøgletal'!C31</f>
        <v>-4177.3037777149248</v>
      </c>
      <c r="F18" s="14" t="s">
        <v>3</v>
      </c>
      <c r="G18" s="1"/>
    </row>
    <row r="19" spans="1:7" x14ac:dyDescent="0.25">
      <c r="A19" s="1"/>
      <c r="B19" s="124" t="s">
        <v>131</v>
      </c>
      <c r="C19" s="125"/>
      <c r="D19" s="126"/>
      <c r="E19" s="12">
        <f>SUM(E16:E18)*(1+'Fane 15. Nøgletal'!C15)^3</f>
        <v>226909.72679099836</v>
      </c>
      <c r="F19" s="13" t="s">
        <v>3</v>
      </c>
      <c r="G19" s="1"/>
    </row>
    <row r="20" spans="1:7" x14ac:dyDescent="0.25">
      <c r="A20" s="1"/>
      <c r="B20" s="1"/>
      <c r="C20" s="1"/>
      <c r="D20" s="1"/>
      <c r="E20" s="1"/>
      <c r="F20" s="1"/>
      <c r="G20" s="1"/>
    </row>
    <row r="21" spans="1:7" ht="15" customHeight="1" x14ac:dyDescent="0.25">
      <c r="A21" s="1"/>
      <c r="B21" s="124" t="s">
        <v>157</v>
      </c>
      <c r="C21" s="125"/>
      <c r="D21" s="125"/>
      <c r="E21" s="125"/>
      <c r="F21" s="126"/>
      <c r="G21" s="1"/>
    </row>
    <row r="22" spans="1:7" x14ac:dyDescent="0.25">
      <c r="A22" s="1"/>
      <c r="B22" s="154" t="s">
        <v>226</v>
      </c>
      <c r="C22" s="155"/>
      <c r="D22" s="156"/>
      <c r="E22" s="9">
        <v>181566.56276373344</v>
      </c>
      <c r="F22" s="14" t="s">
        <v>3</v>
      </c>
      <c r="G22" s="1"/>
    </row>
    <row r="23" spans="1:7" x14ac:dyDescent="0.25">
      <c r="A23" s="1"/>
      <c r="B23" s="118" t="s">
        <v>10</v>
      </c>
      <c r="C23" s="119"/>
      <c r="D23" s="120"/>
      <c r="E23" s="9">
        <f>-E22*'Fane 5. Individuelt eff. krav'!G9</f>
        <v>-333.66317243716628</v>
      </c>
      <c r="F23" s="14" t="s">
        <v>3</v>
      </c>
      <c r="G23" s="1"/>
    </row>
    <row r="24" spans="1:7" x14ac:dyDescent="0.25">
      <c r="A24" s="1"/>
      <c r="B24" s="118" t="s">
        <v>24</v>
      </c>
      <c r="C24" s="119"/>
      <c r="D24" s="120"/>
      <c r="E24" s="9">
        <f>-E22*'Fane 15. Nøgletal'!C31</f>
        <v>-3631.3312552746688</v>
      </c>
      <c r="F24" s="14" t="s">
        <v>3</v>
      </c>
      <c r="G24" s="1"/>
    </row>
    <row r="25" spans="1:7" x14ac:dyDescent="0.25">
      <c r="A25" s="1"/>
      <c r="B25" s="124" t="s">
        <v>158</v>
      </c>
      <c r="C25" s="125"/>
      <c r="D25" s="126"/>
      <c r="E25" s="12">
        <f>SUM(E22:E24)*(1+'Fane 15. Nøgletal'!C15)^4</f>
        <v>204274.87979443869</v>
      </c>
      <c r="F25" s="13" t="s">
        <v>3</v>
      </c>
      <c r="G25" s="1"/>
    </row>
    <row r="26" spans="1:7" x14ac:dyDescent="0.25">
      <c r="A26" s="1"/>
      <c r="B26" s="1"/>
      <c r="C26" s="1"/>
      <c r="D26" s="1"/>
      <c r="E26" s="1"/>
      <c r="F26" s="1"/>
      <c r="G26" s="1"/>
    </row>
    <row r="27" spans="1:7" ht="15" customHeight="1" x14ac:dyDescent="0.25">
      <c r="A27" s="1"/>
      <c r="B27" s="124" t="s">
        <v>215</v>
      </c>
      <c r="C27" s="125"/>
      <c r="D27" s="125"/>
      <c r="E27" s="125"/>
      <c r="F27" s="126"/>
      <c r="G27" s="1"/>
    </row>
    <row r="28" spans="1:7" ht="14.25" customHeight="1" x14ac:dyDescent="0.25">
      <c r="A28" s="1"/>
      <c r="B28" s="154" t="s">
        <v>226</v>
      </c>
      <c r="C28" s="155"/>
      <c r="D28" s="156"/>
      <c r="E28" s="9">
        <v>147855.61052020866</v>
      </c>
      <c r="F28" s="14" t="s">
        <v>3</v>
      </c>
      <c r="G28" s="1"/>
    </row>
    <row r="29" spans="1:7" x14ac:dyDescent="0.25">
      <c r="A29" s="1"/>
      <c r="B29" s="118" t="s">
        <v>10</v>
      </c>
      <c r="C29" s="119"/>
      <c r="D29" s="120"/>
      <c r="E29" s="9">
        <f>-E28*'Fane 5. Individuelt eff. krav'!G9</f>
        <v>-271.71287112486425</v>
      </c>
      <c r="F29" s="14" t="s">
        <v>3</v>
      </c>
      <c r="G29" s="1"/>
    </row>
    <row r="30" spans="1:7" x14ac:dyDescent="0.25">
      <c r="A30" s="1"/>
      <c r="B30" s="118" t="s">
        <v>24</v>
      </c>
      <c r="C30" s="119"/>
      <c r="D30" s="120"/>
      <c r="E30" s="9">
        <f>-E28*'Fane 15. Nøgletal'!C31</f>
        <v>-2957.1122104041733</v>
      </c>
      <c r="F30" s="14" t="s">
        <v>3</v>
      </c>
      <c r="G30" s="1"/>
    </row>
    <row r="31" spans="1:7" x14ac:dyDescent="0.25">
      <c r="A31" s="1"/>
      <c r="B31" s="124" t="s">
        <v>216</v>
      </c>
      <c r="C31" s="125"/>
      <c r="D31" s="126"/>
      <c r="E31" s="12">
        <f>SUM(E28:E30)*(1+'Fane 15. Nøgletal'!C15)^5</f>
        <v>172269.71777946982</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7YWJTMnU8UvG7hE8xiOvqxpXeVnR2DmiNCBCfnmVmtc/QW87cvALUkpDsg9bLY6/MMOc/HEKDpsfiAiSJST3yw==" saltValue="J3wbT07Ty7aX+oEMV9X2DA==" spinCount="100000" sheet="1" objects="1" scenarios="1"/>
  <mergeCells count="21">
    <mergeCell ref="B3:F5"/>
    <mergeCell ref="B13:D13"/>
    <mergeCell ref="B15:F15"/>
    <mergeCell ref="B9:F9"/>
    <mergeCell ref="B10:D10"/>
    <mergeCell ref="B11:D11"/>
    <mergeCell ref="B12:D12"/>
    <mergeCell ref="B25:D25"/>
    <mergeCell ref="B21:F21"/>
    <mergeCell ref="B22:D22"/>
    <mergeCell ref="B19:D19"/>
    <mergeCell ref="B16:D16"/>
    <mergeCell ref="B17:D17"/>
    <mergeCell ref="B18:D18"/>
    <mergeCell ref="B23:D23"/>
    <mergeCell ref="B24:D24"/>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2" t="s">
        <v>261</v>
      </c>
      <c r="C3" s="132"/>
      <c r="D3" s="132"/>
      <c r="E3" s="132"/>
      <c r="F3" s="132"/>
      <c r="G3" s="1"/>
    </row>
    <row r="4" spans="1:7" ht="25.5" customHeight="1" x14ac:dyDescent="0.25">
      <c r="A4" s="1"/>
      <c r="B4" s="132"/>
      <c r="C4" s="132"/>
      <c r="D4" s="132"/>
      <c r="E4" s="132"/>
      <c r="F4" s="13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4" t="s">
        <v>132</v>
      </c>
      <c r="C8" s="125"/>
      <c r="D8" s="125"/>
      <c r="E8" s="125"/>
      <c r="F8" s="126"/>
      <c r="G8" s="1"/>
    </row>
    <row r="9" spans="1:7" ht="15" customHeight="1" x14ac:dyDescent="0.25">
      <c r="A9" s="1"/>
      <c r="B9" s="31" t="s">
        <v>133</v>
      </c>
      <c r="C9" s="31" t="s">
        <v>11</v>
      </c>
      <c r="D9" s="32"/>
      <c r="E9" s="31" t="s">
        <v>31</v>
      </c>
      <c r="F9" s="32"/>
      <c r="G9" s="1"/>
    </row>
    <row r="10" spans="1:7" x14ac:dyDescent="0.25">
      <c r="A10" s="1"/>
      <c r="B10" s="24" t="s">
        <v>277</v>
      </c>
      <c r="C10" s="9">
        <v>0</v>
      </c>
      <c r="D10" s="14" t="s">
        <v>3</v>
      </c>
      <c r="E10" s="9">
        <v>0</v>
      </c>
      <c r="F10" s="14" t="s">
        <v>3</v>
      </c>
      <c r="G10" s="1"/>
    </row>
    <row r="11" spans="1:7" ht="28.5" customHeight="1" x14ac:dyDescent="0.25">
      <c r="A11" s="1"/>
      <c r="B11" s="20" t="s">
        <v>159</v>
      </c>
      <c r="C11" s="12">
        <f>SUM(C10:C10)</f>
        <v>0</v>
      </c>
      <c r="D11" s="13" t="s">
        <v>3</v>
      </c>
      <c r="E11" s="12">
        <f>SUM(E10:E10)</f>
        <v>0</v>
      </c>
      <c r="F11" s="13" t="s">
        <v>3</v>
      </c>
      <c r="G11" s="1"/>
    </row>
    <row r="12" spans="1:7" ht="27" customHeight="1" x14ac:dyDescent="0.25">
      <c r="A12" s="1"/>
      <c r="B12" s="20" t="s">
        <v>218</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lrTKdw7AOz+gISqz59wJQEuBJZcTEOcEoehNIvvbKJudByWxj7LG312CBKZieWeYyc0MiFAyLxp+yPzox4tMZw==" saltValue="SYldpk8pZt+z9CyHyJkcWw=="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2" t="s">
        <v>262</v>
      </c>
      <c r="C3" s="132"/>
      <c r="D3" s="132"/>
      <c r="E3" s="132"/>
      <c r="F3" s="132"/>
      <c r="G3" s="1"/>
    </row>
    <row r="4" spans="1:7" ht="25.5" customHeight="1" x14ac:dyDescent="0.25">
      <c r="A4" s="1"/>
      <c r="B4" s="132"/>
      <c r="C4" s="132"/>
      <c r="D4" s="132"/>
      <c r="E4" s="132"/>
      <c r="F4" s="13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24" t="s">
        <v>93</v>
      </c>
      <c r="C9" s="125"/>
      <c r="D9" s="125"/>
      <c r="E9" s="125"/>
      <c r="F9" s="126"/>
      <c r="G9" s="1"/>
    </row>
    <row r="10" spans="1:7" ht="26.25" x14ac:dyDescent="0.25">
      <c r="A10" s="1"/>
      <c r="B10" s="31" t="s">
        <v>18</v>
      </c>
      <c r="C10" s="31" t="s">
        <v>11</v>
      </c>
      <c r="D10" s="32"/>
      <c r="E10" s="31" t="s">
        <v>31</v>
      </c>
      <c r="F10" s="32"/>
      <c r="G10" s="1"/>
    </row>
    <row r="11" spans="1:7" x14ac:dyDescent="0.25">
      <c r="A11" s="1"/>
      <c r="B11" s="24" t="s">
        <v>177</v>
      </c>
      <c r="C11" s="9">
        <v>0</v>
      </c>
      <c r="D11" s="14" t="s">
        <v>3</v>
      </c>
      <c r="E11" s="9">
        <v>0</v>
      </c>
      <c r="F11" s="14" t="s">
        <v>3</v>
      </c>
      <c r="G11" s="1"/>
    </row>
    <row r="12" spans="1:7" x14ac:dyDescent="0.25">
      <c r="A12" s="1"/>
      <c r="B12" s="33" t="s">
        <v>236</v>
      </c>
      <c r="C12" s="12">
        <f>SUM(C11:C11)</f>
        <v>0</v>
      </c>
      <c r="D12" s="13" t="s">
        <v>3</v>
      </c>
      <c r="E12" s="12">
        <f>SUM(E11:E11)</f>
        <v>0</v>
      </c>
      <c r="F12" s="13" t="s">
        <v>3</v>
      </c>
      <c r="G12" s="1"/>
    </row>
    <row r="13" spans="1:7" x14ac:dyDescent="0.25">
      <c r="A13" s="1"/>
      <c r="B13" s="33" t="s">
        <v>89</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59"/>
      <c r="C15" s="159"/>
      <c r="D15" s="159"/>
      <c r="E15" s="159"/>
      <c r="F15" s="159"/>
      <c r="G15" s="1"/>
    </row>
    <row r="16" spans="1:7" x14ac:dyDescent="0.25">
      <c r="A16" s="1"/>
      <c r="B16" s="63"/>
      <c r="C16" s="63"/>
      <c r="D16" s="63"/>
      <c r="E16" s="63"/>
      <c r="F16" s="63"/>
      <c r="G16" s="1"/>
    </row>
    <row r="17" spans="1:7" x14ac:dyDescent="0.25">
      <c r="A17" s="1"/>
      <c r="B17" s="64"/>
      <c r="C17" s="67"/>
      <c r="D17" s="66"/>
      <c r="E17" s="67"/>
      <c r="F17" s="66"/>
      <c r="G17" s="1"/>
    </row>
    <row r="18" spans="1:7" x14ac:dyDescent="0.25">
      <c r="A18" s="1"/>
      <c r="B18" s="68"/>
      <c r="C18" s="69"/>
      <c r="D18" s="70"/>
      <c r="E18" s="69"/>
      <c r="F18" s="70"/>
      <c r="G18" s="1"/>
    </row>
    <row r="19" spans="1:7" x14ac:dyDescent="0.25">
      <c r="A19" s="1"/>
      <c r="B19" s="68"/>
      <c r="C19" s="69"/>
      <c r="D19" s="70"/>
      <c r="E19" s="69"/>
      <c r="F19" s="70"/>
      <c r="G19" s="1"/>
    </row>
    <row r="20" spans="1:7" x14ac:dyDescent="0.25">
      <c r="A20" s="1"/>
      <c r="B20" s="61"/>
      <c r="C20" s="61"/>
      <c r="D20" s="61"/>
      <c r="E20" s="61"/>
      <c r="F20" s="61"/>
      <c r="G20" s="1"/>
    </row>
    <row r="21" spans="1:7" x14ac:dyDescent="0.25">
      <c r="A21" s="1"/>
      <c r="B21" s="159"/>
      <c r="C21" s="159"/>
      <c r="D21" s="159"/>
      <c r="E21" s="159"/>
      <c r="F21" s="159"/>
      <c r="G21" s="1"/>
    </row>
    <row r="22" spans="1:7" x14ac:dyDescent="0.25">
      <c r="A22" s="1"/>
      <c r="B22" s="63"/>
      <c r="C22" s="63"/>
      <c r="D22" s="63"/>
      <c r="E22" s="63"/>
      <c r="F22" s="63"/>
      <c r="G22" s="1"/>
    </row>
    <row r="23" spans="1:7" x14ac:dyDescent="0.25">
      <c r="A23" s="1"/>
      <c r="B23" s="64"/>
      <c r="C23" s="67"/>
      <c r="D23" s="66"/>
      <c r="E23" s="67"/>
      <c r="F23" s="66"/>
      <c r="G23" s="1"/>
    </row>
    <row r="24" spans="1:7" x14ac:dyDescent="0.25">
      <c r="A24" s="1"/>
      <c r="B24" s="68"/>
      <c r="C24" s="69"/>
      <c r="D24" s="70"/>
      <c r="E24" s="69"/>
      <c r="F24" s="70"/>
      <c r="G24" s="1"/>
    </row>
    <row r="25" spans="1:7" x14ac:dyDescent="0.25">
      <c r="A25" s="1"/>
      <c r="B25" s="68"/>
      <c r="C25" s="69"/>
      <c r="D25" s="70"/>
      <c r="E25" s="69"/>
      <c r="F25" s="70"/>
      <c r="G25" s="1"/>
    </row>
    <row r="26" spans="1:7" x14ac:dyDescent="0.25">
      <c r="A26" s="1"/>
      <c r="B26" s="61"/>
      <c r="C26" s="61"/>
      <c r="D26" s="61"/>
      <c r="E26" s="61"/>
      <c r="F26" s="61"/>
      <c r="G26" s="1"/>
    </row>
    <row r="27" spans="1:7" x14ac:dyDescent="0.25">
      <c r="A27" s="1"/>
      <c r="B27" s="159"/>
      <c r="C27" s="159"/>
      <c r="D27" s="159"/>
      <c r="E27" s="159"/>
      <c r="F27" s="159"/>
      <c r="G27" s="1"/>
    </row>
    <row r="28" spans="1:7" x14ac:dyDescent="0.25">
      <c r="A28" s="1"/>
      <c r="B28" s="63"/>
      <c r="C28" s="63"/>
      <c r="D28" s="63"/>
      <c r="E28" s="63"/>
      <c r="F28" s="63"/>
      <c r="G28" s="1"/>
    </row>
    <row r="29" spans="1:7" x14ac:dyDescent="0.25">
      <c r="A29" s="1"/>
      <c r="B29" s="64"/>
      <c r="C29" s="67"/>
      <c r="D29" s="66"/>
      <c r="E29" s="67"/>
      <c r="F29" s="66"/>
      <c r="G29" s="1"/>
    </row>
    <row r="30" spans="1:7" x14ac:dyDescent="0.25">
      <c r="A30" s="1"/>
      <c r="B30" s="68"/>
      <c r="C30" s="69"/>
      <c r="D30" s="70"/>
      <c r="E30" s="69"/>
      <c r="F30" s="70"/>
      <c r="G30" s="1"/>
    </row>
    <row r="31" spans="1:7" x14ac:dyDescent="0.25">
      <c r="A31" s="1"/>
      <c r="B31" s="68"/>
      <c r="C31" s="69"/>
      <c r="D31" s="70"/>
      <c r="E31" s="69"/>
      <c r="F31" s="70"/>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WsxdC+PyGFxQ18U5sHkPiK2Sc5kIgNEE/lqC+RpV0ntH8zYY0PRBBADvmUmOIb4SI4KE6x06eyG1kfS3G3BKRw==" saltValue="M+t0moLWjErVMXzNMUfG1Q=="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8"/>
  <sheetViews>
    <sheetView showGridLines="0" view="pageLayout" zoomScale="85" zoomScaleNormal="100" zoomScalePageLayoutView="85"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6" t="s">
        <v>182</v>
      </c>
      <c r="C3" s="116"/>
      <c r="D3" s="116"/>
      <c r="E3" s="1"/>
    </row>
    <row r="4" spans="1:5" ht="15" customHeight="1" x14ac:dyDescent="0.25">
      <c r="A4" s="1"/>
      <c r="B4" s="116"/>
      <c r="C4" s="116"/>
      <c r="D4" s="116"/>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126</v>
      </c>
      <c r="C9" s="7">
        <f>'Fane 3. Omkostninger i ØR2022'!E20</f>
        <v>56546258.635101825</v>
      </c>
      <c r="D9" s="8" t="s">
        <v>3</v>
      </c>
      <c r="E9" s="1"/>
    </row>
    <row r="10" spans="1:5" ht="17.25" customHeight="1" x14ac:dyDescent="0.25">
      <c r="A10" s="1"/>
      <c r="B10" s="79" t="s">
        <v>39</v>
      </c>
      <c r="C10" s="7">
        <f>'Fane 11.1. Varige tillæg'!C13</f>
        <v>0</v>
      </c>
      <c r="D10" s="8" t="s">
        <v>3</v>
      </c>
      <c r="E10" s="1"/>
    </row>
    <row r="11" spans="1:5" ht="17.25" customHeight="1" x14ac:dyDescent="0.25">
      <c r="A11" s="1"/>
      <c r="B11" s="79" t="s">
        <v>40</v>
      </c>
      <c r="C11" s="9">
        <f>'Fane 11.1. Varige tillæg'!E13</f>
        <v>0</v>
      </c>
      <c r="D11" s="8" t="s">
        <v>3</v>
      </c>
      <c r="E11" s="1"/>
    </row>
    <row r="12" spans="1:5" ht="17.25" customHeight="1" x14ac:dyDescent="0.25">
      <c r="A12" s="1"/>
      <c r="B12" s="79" t="s">
        <v>27</v>
      </c>
      <c r="C12" s="9">
        <f>-'Fane 14. Bortfald'!C13</f>
        <v>0</v>
      </c>
      <c r="D12" s="8" t="s">
        <v>3</v>
      </c>
      <c r="E12" s="1"/>
    </row>
    <row r="13" spans="1:5" ht="17.25" customHeight="1" x14ac:dyDescent="0.25">
      <c r="A13" s="1"/>
      <c r="B13" s="79" t="s">
        <v>26</v>
      </c>
      <c r="C13" s="9">
        <f>-'Fane 14. Bortfald'!E13</f>
        <v>0</v>
      </c>
      <c r="D13" s="8" t="s">
        <v>3</v>
      </c>
      <c r="E13" s="1"/>
    </row>
    <row r="14" spans="1:5" ht="17.25" customHeight="1" x14ac:dyDescent="0.25">
      <c r="A14" s="1"/>
      <c r="B14" s="79" t="s">
        <v>124</v>
      </c>
      <c r="C14" s="9">
        <f>'Fane 13. Tilknyttet virksomhed'!C12</f>
        <v>0</v>
      </c>
      <c r="D14" s="8" t="s">
        <v>3</v>
      </c>
      <c r="E14" s="1"/>
    </row>
    <row r="15" spans="1:5" ht="17.25" customHeight="1" x14ac:dyDescent="0.25">
      <c r="A15" s="1"/>
      <c r="B15" s="79" t="s">
        <v>125</v>
      </c>
      <c r="C15" s="9">
        <f>'Fane 13. Tilknyttet virksomhed'!E12</f>
        <v>0</v>
      </c>
      <c r="D15" s="8" t="s">
        <v>3</v>
      </c>
      <c r="E15" s="1"/>
    </row>
    <row r="16" spans="1:5" ht="17.25" customHeight="1" x14ac:dyDescent="0.25">
      <c r="A16" s="1"/>
      <c r="B16" s="79" t="s">
        <v>19</v>
      </c>
      <c r="C16" s="45">
        <f>SUM(C9)*'Fane 15. Nøgletal'!C14+SUM(C10:C15)*'Fane 15. Nøgletal'!C15</f>
        <v>186602.65349583601</v>
      </c>
      <c r="D16" s="8" t="s">
        <v>3</v>
      </c>
      <c r="E16" s="1"/>
    </row>
    <row r="17" spans="1:5" ht="17.25" customHeight="1" x14ac:dyDescent="0.25">
      <c r="A17" s="1"/>
      <c r="B17" s="79" t="s">
        <v>10</v>
      </c>
      <c r="C17" s="45">
        <f>-SUM(C9,C10:C16)*'Fane 5. Individuelt eff. krav'!G9</f>
        <v>-104257.4480171426</v>
      </c>
      <c r="D17" s="8" t="s">
        <v>3</v>
      </c>
      <c r="E17" s="1"/>
    </row>
    <row r="18" spans="1:5" ht="17.25" customHeight="1" x14ac:dyDescent="0.25">
      <c r="A18" s="1"/>
      <c r="B18" s="79" t="s">
        <v>24</v>
      </c>
      <c r="C18" s="45">
        <f>-'Fane 4.1. Gen. krav - drift'!G45</f>
        <v>-346302.09556834161</v>
      </c>
      <c r="D18" s="8" t="s">
        <v>3</v>
      </c>
      <c r="E18" s="1"/>
    </row>
    <row r="19" spans="1:5" ht="17.25" customHeight="1" x14ac:dyDescent="0.25">
      <c r="A19" s="1"/>
      <c r="B19" s="79" t="s">
        <v>25</v>
      </c>
      <c r="C19" s="45">
        <f>-'Fane 4.2. Gen. krav - anlæg'!G43</f>
        <v>-599402.77688505943</v>
      </c>
      <c r="D19" s="8" t="s">
        <v>3</v>
      </c>
      <c r="E19" s="50"/>
    </row>
    <row r="20" spans="1:5" ht="17.25" customHeight="1" x14ac:dyDescent="0.25">
      <c r="A20" s="1"/>
      <c r="B20" s="85" t="s">
        <v>21</v>
      </c>
      <c r="C20" s="10">
        <f>SUM(C9:C19)</f>
        <v>55682898.968127109</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omk.'!C16+'Fane 6. Ikke-påvirkelige omk.'!C20+'Fane 6. Ikke-påvirkelige omk.'!C28</f>
        <v>1571289.6891954818</v>
      </c>
      <c r="D22" s="11" t="s">
        <v>3</v>
      </c>
      <c r="E22" s="1"/>
    </row>
    <row r="23" spans="1:5" ht="15" customHeight="1" x14ac:dyDescent="0.25">
      <c r="A23" s="1"/>
      <c r="B23" s="33" t="s">
        <v>86</v>
      </c>
      <c r="C23" s="28"/>
      <c r="D23" s="19"/>
      <c r="E23" s="1"/>
    </row>
    <row r="24" spans="1:5" ht="15" customHeight="1" x14ac:dyDescent="0.25">
      <c r="A24" s="1"/>
      <c r="B24" s="85" t="s">
        <v>86</v>
      </c>
      <c r="C24" s="10">
        <f>'Fane 12. Periodevise driftsomk.'!E13</f>
        <v>250610.38712253803</v>
      </c>
      <c r="D24" s="11" t="s">
        <v>3</v>
      </c>
      <c r="E24" s="1"/>
    </row>
    <row r="25" spans="1:5" ht="15" customHeight="1" x14ac:dyDescent="0.25">
      <c r="A25" s="1"/>
      <c r="B25" s="48" t="s">
        <v>85</v>
      </c>
      <c r="C25" s="46"/>
      <c r="D25" s="47"/>
      <c r="E25" s="1"/>
    </row>
    <row r="26" spans="1:5" ht="15" customHeight="1" x14ac:dyDescent="0.25">
      <c r="A26" s="1"/>
      <c r="B26" s="79" t="s">
        <v>233</v>
      </c>
      <c r="C26" s="9">
        <f>'Fane 11.2. Engangstillæg'!C12</f>
        <v>0</v>
      </c>
      <c r="D26" s="8" t="s">
        <v>3</v>
      </c>
      <c r="E26" s="1"/>
    </row>
    <row r="27" spans="1:5" ht="15" customHeight="1" x14ac:dyDescent="0.25">
      <c r="A27" s="1"/>
      <c r="B27" s="79" t="s">
        <v>82</v>
      </c>
      <c r="C27" s="9">
        <f>'Fane 11.2. Engangstillæg'!E12</f>
        <v>0</v>
      </c>
      <c r="D27" s="8" t="s">
        <v>3</v>
      </c>
      <c r="E27" s="1"/>
    </row>
    <row r="28" spans="1:5" ht="15" customHeight="1" x14ac:dyDescent="0.25">
      <c r="A28" s="1"/>
      <c r="B28" s="79" t="s">
        <v>240</v>
      </c>
      <c r="C28" s="9">
        <f>-C26*('Fane 15. Nøgletal'!C31+'Fane 5. Individuelt eff. krav'!G9)</f>
        <v>0</v>
      </c>
      <c r="D28" s="8" t="s">
        <v>3</v>
      </c>
      <c r="E28" s="1"/>
    </row>
    <row r="29" spans="1:5" ht="15" customHeight="1" x14ac:dyDescent="0.25">
      <c r="A29" s="1"/>
      <c r="B29" s="79" t="s">
        <v>241</v>
      </c>
      <c r="C29" s="9">
        <f>-C27*('Fane 15. Nøgletal'!C26+'Fane 5. Individuelt eff. krav'!G9)</f>
        <v>0</v>
      </c>
      <c r="D29" s="8" t="s">
        <v>3</v>
      </c>
      <c r="E29" s="1"/>
    </row>
    <row r="30" spans="1:5" ht="15" customHeight="1" x14ac:dyDescent="0.25">
      <c r="A30" s="1"/>
      <c r="B30" s="92" t="s">
        <v>87</v>
      </c>
      <c r="C30" s="10">
        <f>SUM(C26:C29)</f>
        <v>0</v>
      </c>
      <c r="D30" s="11" t="s">
        <v>3</v>
      </c>
      <c r="E30" s="1"/>
    </row>
    <row r="31" spans="1:5" x14ac:dyDescent="0.25">
      <c r="A31" s="1"/>
      <c r="B31" s="33" t="s">
        <v>143</v>
      </c>
      <c r="C31" s="28"/>
      <c r="D31" s="19"/>
      <c r="E31" s="1"/>
    </row>
    <row r="32" spans="1:5" x14ac:dyDescent="0.25">
      <c r="A32" s="1"/>
      <c r="B32" s="31" t="s">
        <v>181</v>
      </c>
      <c r="C32" s="10">
        <f>'Fane 7. Kontrol af ØR2021'!E28</f>
        <v>0</v>
      </c>
      <c r="D32" s="11" t="s">
        <v>3</v>
      </c>
      <c r="E32" s="1"/>
    </row>
    <row r="33" spans="1:5" ht="15" customHeight="1" x14ac:dyDescent="0.25">
      <c r="A33" s="1"/>
      <c r="B33" s="33" t="s">
        <v>186</v>
      </c>
      <c r="C33" s="28"/>
      <c r="D33" s="19"/>
      <c r="E33" s="1"/>
    </row>
    <row r="34" spans="1:5" x14ac:dyDescent="0.25">
      <c r="A34" s="1"/>
      <c r="B34" s="31" t="s">
        <v>186</v>
      </c>
      <c r="C34" s="10">
        <f>'Fane 9. Korrektion af ØR2021'!E17</f>
        <v>-305785.40527436888</v>
      </c>
      <c r="D34" s="11" t="s">
        <v>3</v>
      </c>
      <c r="E34" s="1"/>
    </row>
    <row r="35" spans="1:5" x14ac:dyDescent="0.25">
      <c r="A35" s="1"/>
      <c r="B35" s="30" t="s">
        <v>175</v>
      </c>
      <c r="C35" s="28"/>
      <c r="D35" s="19"/>
      <c r="E35" s="1"/>
    </row>
    <row r="36" spans="1:5" x14ac:dyDescent="0.25">
      <c r="A36" s="1"/>
      <c r="B36" s="92" t="s">
        <v>176</v>
      </c>
      <c r="C36" s="10">
        <f>'Fane 8. Skattesagen'!G12</f>
        <v>0</v>
      </c>
      <c r="D36" s="11" t="s">
        <v>3</v>
      </c>
      <c r="E36" s="1"/>
    </row>
    <row r="37" spans="1:5" x14ac:dyDescent="0.25">
      <c r="A37" s="1"/>
      <c r="B37" s="33" t="s">
        <v>90</v>
      </c>
      <c r="C37" s="59">
        <f>SUM(C34,C32,C24,C30,C22,C20,C36)</f>
        <v>57199013.639170758</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zx8L+m68byQF6RvJrVv2g88CV+5JiUZQBeIM+Ynff1jM0E5q6T3zH/2JUwcrLjCp2F0RsbF8bGYnAVGzE8MJwA==" saltValue="IgNSeT/XcmJ+N15DMMpfAg=="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32" t="s">
        <v>263</v>
      </c>
      <c r="C3" s="132"/>
      <c r="D3" s="1"/>
    </row>
    <row r="4" spans="1:4" ht="25.5" customHeight="1" x14ac:dyDescent="0.25">
      <c r="A4" s="1"/>
      <c r="B4" s="132"/>
      <c r="C4" s="132"/>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91" t="s">
        <v>112</v>
      </c>
      <c r="C9" s="25">
        <v>1.2699999999999999E-2</v>
      </c>
      <c r="D9" s="1"/>
    </row>
    <row r="10" spans="1:4" x14ac:dyDescent="0.25">
      <c r="A10" s="1"/>
      <c r="B10" s="91" t="s">
        <v>113</v>
      </c>
      <c r="C10" s="25">
        <v>1.7500000000000002E-2</v>
      </c>
      <c r="D10" s="1"/>
    </row>
    <row r="11" spans="1:4" x14ac:dyDescent="0.25">
      <c r="A11" s="1"/>
      <c r="B11" s="91" t="s">
        <v>23</v>
      </c>
      <c r="C11" s="25">
        <v>1.6899999999999998E-2</v>
      </c>
      <c r="D11" s="1"/>
    </row>
    <row r="12" spans="1:4" x14ac:dyDescent="0.25">
      <c r="A12" s="1"/>
      <c r="B12" s="34" t="s">
        <v>172</v>
      </c>
      <c r="C12" s="35">
        <v>1.9699999999999999E-2</v>
      </c>
      <c r="D12" s="1"/>
    </row>
    <row r="13" spans="1:4" x14ac:dyDescent="0.25">
      <c r="A13" s="1"/>
      <c r="B13" s="34" t="s">
        <v>135</v>
      </c>
      <c r="C13" s="35">
        <v>1.2200000000000001E-2</v>
      </c>
      <c r="D13" s="1"/>
    </row>
    <row r="14" spans="1:4" x14ac:dyDescent="0.25">
      <c r="A14" s="1"/>
      <c r="B14" s="91" t="s">
        <v>171</v>
      </c>
      <c r="C14" s="43">
        <v>3.3E-3</v>
      </c>
      <c r="D14" s="1"/>
    </row>
    <row r="15" spans="1:4" x14ac:dyDescent="0.25">
      <c r="A15" s="1"/>
      <c r="B15" s="34" t="s">
        <v>225</v>
      </c>
      <c r="C15" s="73">
        <v>3.56E-2</v>
      </c>
      <c r="D15" s="1"/>
    </row>
    <row r="16" spans="1:4" x14ac:dyDescent="0.25">
      <c r="A16" s="1"/>
      <c r="B16" s="33"/>
      <c r="C16" s="19"/>
      <c r="D16" s="1"/>
    </row>
    <row r="17" spans="1:4" x14ac:dyDescent="0.25">
      <c r="A17" s="1"/>
      <c r="B17" s="1"/>
      <c r="C17" s="1"/>
      <c r="D17" s="1"/>
    </row>
    <row r="18" spans="1:4" x14ac:dyDescent="0.25">
      <c r="A18" s="1"/>
      <c r="B18" s="1"/>
      <c r="C18" s="1"/>
      <c r="D18" s="1"/>
    </row>
    <row r="19" spans="1:4" x14ac:dyDescent="0.25">
      <c r="A19" s="1"/>
      <c r="B19" s="33" t="s">
        <v>103</v>
      </c>
      <c r="C19" s="19"/>
      <c r="D19" s="1"/>
    </row>
    <row r="20" spans="1:4" x14ac:dyDescent="0.25">
      <c r="A20" s="1"/>
      <c r="B20" s="91" t="s">
        <v>114</v>
      </c>
      <c r="C20" s="22">
        <v>9.1000000000000004E-3</v>
      </c>
      <c r="D20" s="1"/>
    </row>
    <row r="21" spans="1:4" x14ac:dyDescent="0.25">
      <c r="A21" s="1"/>
      <c r="B21" s="91" t="s">
        <v>145</v>
      </c>
      <c r="C21" s="22">
        <v>1.77E-2</v>
      </c>
      <c r="D21" s="1"/>
    </row>
    <row r="22" spans="1:4" x14ac:dyDescent="0.25">
      <c r="A22" s="1"/>
      <c r="B22" s="91" t="s">
        <v>146</v>
      </c>
      <c r="C22" s="22">
        <v>8.6999999999999994E-3</v>
      </c>
      <c r="D22" s="1"/>
    </row>
    <row r="23" spans="1:4" x14ac:dyDescent="0.25">
      <c r="A23" s="1"/>
      <c r="B23" s="91" t="s">
        <v>115</v>
      </c>
      <c r="C23" s="36">
        <v>2.8400000000000002E-2</v>
      </c>
      <c r="D23" s="1"/>
    </row>
    <row r="24" spans="1:4" x14ac:dyDescent="0.25">
      <c r="A24" s="1"/>
      <c r="B24" s="91" t="s">
        <v>147</v>
      </c>
      <c r="C24" s="36">
        <v>2.75E-2</v>
      </c>
      <c r="D24" s="1"/>
    </row>
    <row r="25" spans="1:4" x14ac:dyDescent="0.25">
      <c r="A25" s="1"/>
      <c r="B25" s="91" t="s">
        <v>148</v>
      </c>
      <c r="C25" s="36">
        <v>1.4800000000000001E-2</v>
      </c>
      <c r="D25" s="1"/>
    </row>
    <row r="26" spans="1:4" x14ac:dyDescent="0.25">
      <c r="A26" s="1"/>
      <c r="B26" s="34" t="s">
        <v>217</v>
      </c>
      <c r="C26" s="74">
        <v>0</v>
      </c>
      <c r="D26" s="1"/>
    </row>
    <row r="27" spans="1:4" x14ac:dyDescent="0.25">
      <c r="A27" s="1"/>
      <c r="B27" s="33"/>
      <c r="C27" s="19"/>
      <c r="D27" s="1"/>
    </row>
    <row r="28" spans="1:4" x14ac:dyDescent="0.25">
      <c r="A28" s="1"/>
      <c r="B28" s="1"/>
      <c r="C28" s="1"/>
      <c r="D28" s="1"/>
    </row>
    <row r="29" spans="1:4" x14ac:dyDescent="0.25">
      <c r="A29" s="1"/>
      <c r="B29" s="1"/>
      <c r="C29" s="1"/>
      <c r="D29" s="1"/>
    </row>
    <row r="30" spans="1:4" x14ac:dyDescent="0.25">
      <c r="A30" s="1"/>
      <c r="B30" s="33" t="s">
        <v>104</v>
      </c>
      <c r="C30" s="19"/>
      <c r="D30" s="1"/>
    </row>
    <row r="31" spans="1:4" x14ac:dyDescent="0.25">
      <c r="A31" s="1"/>
      <c r="B31" s="91" t="s">
        <v>116</v>
      </c>
      <c r="C31" s="25">
        <v>0.02</v>
      </c>
      <c r="D31" s="1"/>
    </row>
    <row r="32" spans="1:4" x14ac:dyDescent="0.25">
      <c r="A32" s="1"/>
      <c r="B32" s="33"/>
      <c r="C32" s="19"/>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51"/>
      <c r="B50" s="51"/>
      <c r="C50" s="51"/>
      <c r="D50" s="51"/>
    </row>
    <row r="51" spans="1:4" x14ac:dyDescent="0.25">
      <c r="A51" s="51"/>
      <c r="B51" s="51"/>
      <c r="C51" s="51"/>
      <c r="D51" s="51"/>
    </row>
    <row r="52" spans="1:4" x14ac:dyDescent="0.25">
      <c r="A52" s="51"/>
      <c r="B52" s="51"/>
      <c r="C52" s="51"/>
      <c r="D52" s="51"/>
    </row>
    <row r="53" spans="1:4" x14ac:dyDescent="0.25">
      <c r="A53" s="51"/>
      <c r="B53" s="51"/>
      <c r="C53" s="51"/>
      <c r="D53" s="51"/>
    </row>
  </sheetData>
  <sheetProtection algorithmName="SHA-512" hashValue="pZLjDJPYPA7dpgklHPEv3PAMxmQn1UYguUVoVxJ5NV9rmMsNQR0sck2WljOkGTDSedIUs/D8zLm29nXHXKWxFg==" saltValue="LsH4B8B99WnQZqUaBVcaiA=="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5"/>
  <sheetViews>
    <sheetView showGridLines="0" view="pageLayout" zoomScale="90" zoomScaleNormal="100" zoomScalePageLayoutView="9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6" t="s">
        <v>187</v>
      </c>
      <c r="C3" s="116"/>
      <c r="D3" s="116"/>
      <c r="E3" s="1"/>
    </row>
    <row r="4" spans="1:5" ht="15" customHeight="1" x14ac:dyDescent="0.25">
      <c r="A4" s="1"/>
      <c r="B4" s="116"/>
      <c r="C4" s="116"/>
      <c r="D4" s="116"/>
      <c r="E4" s="1"/>
    </row>
    <row r="5" spans="1:5" x14ac:dyDescent="0.25">
      <c r="A5" s="1"/>
      <c r="B5" s="117" t="s">
        <v>22</v>
      </c>
      <c r="C5" s="117"/>
      <c r="D5" s="117"/>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127</v>
      </c>
      <c r="C9" s="7">
        <f>'Fane 2.1. Økonomisk ramme 2023'!C20</f>
        <v>55682898.968127109</v>
      </c>
      <c r="D9" s="8" t="s">
        <v>3</v>
      </c>
      <c r="E9" s="1"/>
    </row>
    <row r="10" spans="1:5" ht="15" customHeight="1" x14ac:dyDescent="0.25">
      <c r="A10" s="1"/>
      <c r="B10" s="26" t="s">
        <v>19</v>
      </c>
      <c r="C10" s="7">
        <f>SUM(C9:C9)*'Fane 15. Nøgletal'!C15</f>
        <v>1982311.2032653252</v>
      </c>
      <c r="D10" s="8" t="s">
        <v>3</v>
      </c>
      <c r="E10" s="1"/>
    </row>
    <row r="11" spans="1:5" ht="15" customHeight="1" x14ac:dyDescent="0.25">
      <c r="A11" s="1"/>
      <c r="B11" s="26" t="s">
        <v>10</v>
      </c>
      <c r="C11" s="9">
        <f>-SUM(C9:C10)*'Fane 5. Individuelt eff. krav'!G9</f>
        <v>-105970.81682974915</v>
      </c>
      <c r="D11" s="8" t="s">
        <v>3</v>
      </c>
      <c r="E11" s="1"/>
    </row>
    <row r="12" spans="1:5" ht="15" customHeight="1" x14ac:dyDescent="0.25">
      <c r="A12" s="1"/>
      <c r="B12" s="26" t="s">
        <v>24</v>
      </c>
      <c r="C12" s="9">
        <f>-'Fane 4.1. Gen. krav - drift'!G53</f>
        <v>-351457.8411671631</v>
      </c>
      <c r="D12" s="8" t="s">
        <v>3</v>
      </c>
      <c r="E12" s="1"/>
    </row>
    <row r="13" spans="1:5" ht="15" customHeight="1" x14ac:dyDescent="0.25">
      <c r="A13" s="1"/>
      <c r="B13" s="26" t="s">
        <v>25</v>
      </c>
      <c r="C13" s="9">
        <f>-'Fane 4.2. Gen. krav - anlæg'!G54</f>
        <v>0</v>
      </c>
      <c r="D13" s="8" t="s">
        <v>3</v>
      </c>
      <c r="E13" s="1"/>
    </row>
    <row r="14" spans="1:5" ht="15" customHeight="1" x14ac:dyDescent="0.25">
      <c r="A14" s="1"/>
      <c r="B14" s="27" t="s">
        <v>21</v>
      </c>
      <c r="C14" s="10">
        <f>SUM(C9:C13)</f>
        <v>57207781.513395518</v>
      </c>
      <c r="D14" s="11" t="s">
        <v>3</v>
      </c>
      <c r="E14" s="1"/>
    </row>
    <row r="15" spans="1:5" x14ac:dyDescent="0.25">
      <c r="A15" s="1"/>
      <c r="B15" s="33" t="s">
        <v>12</v>
      </c>
      <c r="C15" s="28"/>
      <c r="D15" s="19"/>
      <c r="E15" s="1"/>
    </row>
    <row r="16" spans="1:5" ht="15" customHeight="1" x14ac:dyDescent="0.25">
      <c r="A16" s="1"/>
      <c r="B16" s="31" t="s">
        <v>12</v>
      </c>
      <c r="C16" s="10">
        <f>'Fane 6. Ikke-påvirkelige omk.'!C16*(1+'Fane 15. Nøgletal'!C15)+'Fane 6. Ikke-påvirkelige omk.'!C21+'Fane 6. Ikke-påvirkelige omk.'!C29</f>
        <v>1627227.602130841</v>
      </c>
      <c r="D16" s="11" t="s">
        <v>3</v>
      </c>
      <c r="E16" s="1"/>
    </row>
    <row r="17" spans="1:5" ht="15" customHeight="1" x14ac:dyDescent="0.25">
      <c r="A17" s="1"/>
      <c r="B17" s="33" t="s">
        <v>86</v>
      </c>
      <c r="C17" s="28"/>
      <c r="D17" s="19"/>
      <c r="E17" s="1"/>
    </row>
    <row r="18" spans="1:5" ht="15" customHeight="1" x14ac:dyDescent="0.25">
      <c r="A18" s="1"/>
      <c r="B18" s="85" t="s">
        <v>86</v>
      </c>
      <c r="C18" s="10">
        <f>'Fane 12. Periodevise driftsomk.'!E19</f>
        <v>226909.72679099836</v>
      </c>
      <c r="D18" s="11" t="s">
        <v>3</v>
      </c>
      <c r="E18" s="1"/>
    </row>
    <row r="19" spans="1:5" x14ac:dyDescent="0.25">
      <c r="A19" s="1"/>
      <c r="B19" s="33" t="s">
        <v>143</v>
      </c>
      <c r="C19" s="28"/>
      <c r="D19" s="19"/>
      <c r="E19" s="1"/>
    </row>
    <row r="20" spans="1:5" ht="15" customHeight="1" x14ac:dyDescent="0.25">
      <c r="A20" s="1"/>
      <c r="B20" s="31" t="s">
        <v>181</v>
      </c>
      <c r="C20" s="10">
        <f>'Fane 7. Kontrol af ØR2021'!E34</f>
        <v>0</v>
      </c>
      <c r="D20" s="11" t="s">
        <v>3</v>
      </c>
      <c r="E20" s="1"/>
    </row>
    <row r="21" spans="1:5" x14ac:dyDescent="0.25">
      <c r="A21" s="1"/>
      <c r="B21" s="30" t="s">
        <v>175</v>
      </c>
      <c r="C21" s="28"/>
      <c r="D21" s="19"/>
      <c r="E21" s="1"/>
    </row>
    <row r="22" spans="1:5" x14ac:dyDescent="0.25">
      <c r="A22" s="1"/>
      <c r="B22" s="92" t="s">
        <v>176</v>
      </c>
      <c r="C22" s="10">
        <f>'Fane 8. Skattesagen'!G13</f>
        <v>0</v>
      </c>
      <c r="D22" s="11" t="s">
        <v>3</v>
      </c>
      <c r="E22" s="1"/>
    </row>
    <row r="23" spans="1:5" x14ac:dyDescent="0.25">
      <c r="A23" s="1"/>
      <c r="B23" s="33" t="s">
        <v>128</v>
      </c>
      <c r="C23" s="12">
        <f>SUM(C14,C16,C18,C20,C22)</f>
        <v>59061918.842317358</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BM5Cg/Ehoxi+9NArXi7gRRXfTaAxEV+gUJ4bkPVTsSQk67LAQxtW/aIFoC2QJfj5PJZJ8kNtI2vgjkfwvlQKTw==" saltValue="6Hs/Et85rQnzoNc1Y16Gzg=="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5"/>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6" t="s">
        <v>188</v>
      </c>
      <c r="C3" s="116"/>
      <c r="D3" s="116"/>
      <c r="E3" s="1"/>
    </row>
    <row r="4" spans="1:5" ht="15" customHeight="1" x14ac:dyDescent="0.25">
      <c r="A4" s="1"/>
      <c r="B4" s="116"/>
      <c r="C4" s="116"/>
      <c r="D4" s="116"/>
      <c r="E4" s="1"/>
    </row>
    <row r="5" spans="1:5" x14ac:dyDescent="0.25">
      <c r="A5" s="1"/>
      <c r="B5" s="117" t="s">
        <v>22</v>
      </c>
      <c r="C5" s="117"/>
      <c r="D5" s="117"/>
      <c r="E5" s="1"/>
    </row>
    <row r="6" spans="1:5" x14ac:dyDescent="0.25">
      <c r="A6" s="1"/>
      <c r="B6" s="78"/>
      <c r="C6" s="78"/>
      <c r="D6" s="78"/>
      <c r="E6" s="1"/>
    </row>
    <row r="7" spans="1:5" x14ac:dyDescent="0.25">
      <c r="A7" s="1"/>
      <c r="B7" s="1"/>
      <c r="C7" s="1"/>
      <c r="D7" s="1"/>
      <c r="E7" s="1"/>
    </row>
    <row r="8" spans="1:5" x14ac:dyDescent="0.25">
      <c r="A8" s="1"/>
      <c r="B8" s="33" t="s">
        <v>13</v>
      </c>
      <c r="C8" s="28"/>
      <c r="D8" s="19"/>
      <c r="E8" s="1"/>
    </row>
    <row r="9" spans="1:5" ht="15" customHeight="1" x14ac:dyDescent="0.25">
      <c r="A9" s="1"/>
      <c r="B9" s="29" t="s">
        <v>235</v>
      </c>
      <c r="C9" s="7">
        <f>'Fane 2.2. Økonomisk ramme 2024'!C14</f>
        <v>57207781.513395518</v>
      </c>
      <c r="D9" s="8" t="s">
        <v>3</v>
      </c>
      <c r="E9" s="1"/>
    </row>
    <row r="10" spans="1:5" ht="15" customHeight="1" x14ac:dyDescent="0.25">
      <c r="A10" s="1"/>
      <c r="B10" s="26" t="s">
        <v>19</v>
      </c>
      <c r="C10" s="7">
        <f>SUM(C9:C9)*'Fane 15. Nøgletal'!C15</f>
        <v>2036597.0218768804</v>
      </c>
      <c r="D10" s="8" t="s">
        <v>3</v>
      </c>
      <c r="E10" s="1"/>
    </row>
    <row r="11" spans="1:5" ht="15" customHeight="1" x14ac:dyDescent="0.25">
      <c r="A11" s="1"/>
      <c r="B11" s="26" t="s">
        <v>10</v>
      </c>
      <c r="C11" s="9">
        <f>-SUM(C9:C10)*'Fane 5. Individuelt eff. krav'!G9</f>
        <v>-108872.83974676747</v>
      </c>
      <c r="D11" s="8" t="s">
        <v>3</v>
      </c>
      <c r="E11" s="1"/>
    </row>
    <row r="12" spans="1:5" ht="15" customHeight="1" x14ac:dyDescent="0.25">
      <c r="A12" s="1"/>
      <c r="B12" s="26" t="s">
        <v>24</v>
      </c>
      <c r="C12" s="9">
        <f>-'Fane 4.1. Gen. krav - drift'!G58</f>
        <v>-356690.34550645988</v>
      </c>
      <c r="D12" s="8" t="s">
        <v>3</v>
      </c>
      <c r="E12" s="1"/>
    </row>
    <row r="13" spans="1:5" ht="15" customHeight="1" x14ac:dyDescent="0.25">
      <c r="A13" s="1"/>
      <c r="B13" s="26" t="s">
        <v>25</v>
      </c>
      <c r="C13" s="9">
        <f>-'Fane 4.2. Gen. krav - anlæg'!G59</f>
        <v>0</v>
      </c>
      <c r="D13" s="8" t="s">
        <v>3</v>
      </c>
      <c r="E13" s="1"/>
    </row>
    <row r="14" spans="1:5" x14ac:dyDescent="0.25">
      <c r="A14" s="1"/>
      <c r="B14" s="27" t="s">
        <v>21</v>
      </c>
      <c r="C14" s="10">
        <f>SUM(C9:C13)</f>
        <v>58778815.350019172</v>
      </c>
      <c r="D14" s="11" t="s">
        <v>3</v>
      </c>
      <c r="E14" s="1"/>
    </row>
    <row r="15" spans="1:5" x14ac:dyDescent="0.25">
      <c r="A15" s="1"/>
      <c r="B15" s="33" t="s">
        <v>12</v>
      </c>
      <c r="C15" s="28"/>
      <c r="D15" s="19"/>
      <c r="E15" s="1"/>
    </row>
    <row r="16" spans="1:5" ht="15" customHeight="1" x14ac:dyDescent="0.25">
      <c r="A16" s="1"/>
      <c r="B16" s="31" t="s">
        <v>12</v>
      </c>
      <c r="C16" s="10">
        <f>'Fane 6. Ikke-påvirkelige omk.'!C16*(1+'Fane 15. Nøgletal'!C15)^2+'Fane 6. Ikke-påvirkelige omk.'!C22+'Fane 6. Ikke-påvirkelige omk.'!C30</f>
        <v>1685156.9047666991</v>
      </c>
      <c r="D16" s="11" t="s">
        <v>3</v>
      </c>
      <c r="E16" s="1"/>
    </row>
    <row r="17" spans="1:5" ht="15" customHeight="1" x14ac:dyDescent="0.25">
      <c r="A17" s="1"/>
      <c r="B17" s="33" t="s">
        <v>86</v>
      </c>
      <c r="C17" s="28"/>
      <c r="D17" s="19"/>
      <c r="E17" s="1"/>
    </row>
    <row r="18" spans="1:5" ht="15" customHeight="1" x14ac:dyDescent="0.25">
      <c r="A18" s="1"/>
      <c r="B18" s="85" t="s">
        <v>86</v>
      </c>
      <c r="C18" s="10">
        <f>'Fane 12. Periodevise driftsomk.'!E25</f>
        <v>204274.87979443869</v>
      </c>
      <c r="D18" s="11" t="s">
        <v>3</v>
      </c>
      <c r="E18" s="1"/>
    </row>
    <row r="19" spans="1:5" ht="15" customHeight="1" x14ac:dyDescent="0.25">
      <c r="A19" s="1"/>
      <c r="B19" s="33" t="s">
        <v>143</v>
      </c>
      <c r="C19" s="28"/>
      <c r="D19" s="19"/>
      <c r="E19" s="1"/>
    </row>
    <row r="20" spans="1:5" ht="15" customHeight="1" x14ac:dyDescent="0.25">
      <c r="A20" s="1"/>
      <c r="B20" s="31" t="s">
        <v>181</v>
      </c>
      <c r="C20" s="10">
        <f>'Fane 7. Kontrol af ØR2021'!E34</f>
        <v>0</v>
      </c>
      <c r="D20" s="11" t="s">
        <v>3</v>
      </c>
      <c r="E20" s="1"/>
    </row>
    <row r="21" spans="1:5" x14ac:dyDescent="0.25">
      <c r="A21" s="1"/>
      <c r="B21" s="30" t="s">
        <v>175</v>
      </c>
      <c r="C21" s="28"/>
      <c r="D21" s="19"/>
      <c r="E21" s="1"/>
    </row>
    <row r="22" spans="1:5" x14ac:dyDescent="0.25">
      <c r="A22" s="1"/>
      <c r="B22" s="92" t="s">
        <v>176</v>
      </c>
      <c r="C22" s="10">
        <f>'Fane 8. Skattesagen'!G14</f>
        <v>0</v>
      </c>
      <c r="D22" s="11" t="s">
        <v>3</v>
      </c>
      <c r="E22" s="1"/>
    </row>
    <row r="23" spans="1:5" x14ac:dyDescent="0.25">
      <c r="A23" s="1"/>
      <c r="B23" s="33" t="s">
        <v>149</v>
      </c>
      <c r="C23" s="12">
        <f>SUM(C14,C16,C18,C20,C22)</f>
        <v>60668247.134580314</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lLmJcrgfTdzX6K3nGYIRKxnetWEdL6Ak7aCiTUWHLK//MhrjW0Efbp7yhi3gyl0qEG8rKn3Xc4pMDlD7/75FGA==" saltValue="1BrtEzRrCHUOfrmvBC7zUQ=="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7"/>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6" t="s">
        <v>189</v>
      </c>
      <c r="C3" s="116"/>
      <c r="D3" s="116"/>
      <c r="E3" s="1"/>
    </row>
    <row r="4" spans="1:5" ht="15" customHeight="1" x14ac:dyDescent="0.25">
      <c r="A4" s="1"/>
      <c r="B4" s="116"/>
      <c r="C4" s="116"/>
      <c r="D4" s="116"/>
      <c r="E4" s="1"/>
    </row>
    <row r="5" spans="1:5" x14ac:dyDescent="0.25">
      <c r="A5" s="1"/>
      <c r="B5" s="117" t="s">
        <v>22</v>
      </c>
      <c r="C5" s="117"/>
      <c r="D5" s="117"/>
      <c r="E5" s="1"/>
    </row>
    <row r="6" spans="1:5" x14ac:dyDescent="0.25">
      <c r="A6" s="1"/>
      <c r="B6" s="78"/>
      <c r="C6" s="78"/>
      <c r="D6" s="78"/>
      <c r="E6" s="1"/>
    </row>
    <row r="7" spans="1:5" x14ac:dyDescent="0.25">
      <c r="A7" s="1"/>
      <c r="B7" s="1"/>
      <c r="C7" s="1"/>
      <c r="D7" s="1"/>
      <c r="E7" s="1"/>
    </row>
    <row r="8" spans="1:5" x14ac:dyDescent="0.25">
      <c r="A8" s="1"/>
      <c r="B8" s="33" t="s">
        <v>13</v>
      </c>
      <c r="C8" s="28"/>
      <c r="D8" s="19"/>
      <c r="E8" s="1"/>
    </row>
    <row r="9" spans="1:5" ht="15" customHeight="1" x14ac:dyDescent="0.25">
      <c r="A9" s="1"/>
      <c r="B9" s="29" t="s">
        <v>190</v>
      </c>
      <c r="C9" s="7">
        <f>'Fane 2.3. Økonomisk ramme 2025'!C14</f>
        <v>58778815.350019172</v>
      </c>
      <c r="D9" s="8" t="s">
        <v>3</v>
      </c>
      <c r="E9" s="1"/>
    </row>
    <row r="10" spans="1:5" ht="15" customHeight="1" x14ac:dyDescent="0.25">
      <c r="A10" s="1"/>
      <c r="B10" s="26" t="s">
        <v>19</v>
      </c>
      <c r="C10" s="7">
        <f>SUM(C9:C9)*'Fane 15. Nøgletal'!C15</f>
        <v>2092525.8264606826</v>
      </c>
      <c r="D10" s="8" t="s">
        <v>3</v>
      </c>
      <c r="E10" s="1"/>
    </row>
    <row r="11" spans="1:5" ht="15" customHeight="1" x14ac:dyDescent="0.25">
      <c r="A11" s="1"/>
      <c r="B11" s="26" t="s">
        <v>10</v>
      </c>
      <c r="C11" s="9">
        <f>-SUM(C9:C10)*'Fane 5. Individuelt eff. krav'!G9</f>
        <v>-111862.69375974689</v>
      </c>
      <c r="D11" s="8" t="s">
        <v>3</v>
      </c>
      <c r="E11" s="1"/>
    </row>
    <row r="12" spans="1:5" ht="15" customHeight="1" x14ac:dyDescent="0.25">
      <c r="A12" s="1"/>
      <c r="B12" s="26" t="s">
        <v>24</v>
      </c>
      <c r="C12" s="9">
        <f>-'Fane 4.1. Gen. krav - drift'!G63</f>
        <v>-362000.75137036003</v>
      </c>
      <c r="D12" s="8" t="s">
        <v>3</v>
      </c>
      <c r="E12" s="1"/>
    </row>
    <row r="13" spans="1:5" ht="15" customHeight="1" x14ac:dyDescent="0.25">
      <c r="A13" s="1"/>
      <c r="B13" s="26" t="s">
        <v>25</v>
      </c>
      <c r="C13" s="9">
        <f>-'Fane 4.2. Gen. krav - anlæg'!G64</f>
        <v>0</v>
      </c>
      <c r="D13" s="8" t="s">
        <v>3</v>
      </c>
      <c r="E13" s="1"/>
    </row>
    <row r="14" spans="1:5" ht="14.25" customHeight="1" x14ac:dyDescent="0.25">
      <c r="A14" s="1"/>
      <c r="B14" s="27" t="s">
        <v>21</v>
      </c>
      <c r="C14" s="10">
        <f>SUM(C9:C13)</f>
        <v>60397477.731349744</v>
      </c>
      <c r="D14" s="11" t="s">
        <v>3</v>
      </c>
      <c r="E14" s="1"/>
    </row>
    <row r="15" spans="1:5" x14ac:dyDescent="0.25">
      <c r="A15" s="1"/>
      <c r="B15" s="33" t="s">
        <v>12</v>
      </c>
      <c r="C15" s="28"/>
      <c r="D15" s="19"/>
      <c r="E15" s="1"/>
    </row>
    <row r="16" spans="1:5" ht="15" customHeight="1" x14ac:dyDescent="0.25">
      <c r="A16" s="1"/>
      <c r="B16" s="31" t="s">
        <v>12</v>
      </c>
      <c r="C16" s="10">
        <f>'Fane 6. Ikke-påvirkelige omk.'!C16*(1+'Fane 15. Nøgletal'!C15)^3+'Fane 6. Ikke-påvirkelige omk.'!C23+'Fane 6. Ikke-påvirkelige omk.'!C31</f>
        <v>1745148.4905763937</v>
      </c>
      <c r="D16" s="11" t="s">
        <v>3</v>
      </c>
      <c r="E16" s="1"/>
    </row>
    <row r="17" spans="1:5" ht="15" customHeight="1" x14ac:dyDescent="0.25">
      <c r="A17" s="1"/>
      <c r="B17" s="33" t="s">
        <v>86</v>
      </c>
      <c r="C17" s="28"/>
      <c r="D17" s="19"/>
      <c r="E17" s="1"/>
    </row>
    <row r="18" spans="1:5" ht="15" customHeight="1" x14ac:dyDescent="0.25">
      <c r="A18" s="1"/>
      <c r="B18" s="85" t="s">
        <v>86</v>
      </c>
      <c r="C18" s="10">
        <f>'Fane 12. Periodevise driftsomk.'!E31</f>
        <v>172269.71777946982</v>
      </c>
      <c r="D18" s="11" t="s">
        <v>3</v>
      </c>
      <c r="E18" s="1"/>
    </row>
    <row r="19" spans="1:5" ht="15" customHeight="1" x14ac:dyDescent="0.25">
      <c r="A19" s="1"/>
      <c r="B19" s="33" t="s">
        <v>143</v>
      </c>
      <c r="C19" s="28"/>
      <c r="D19" s="19"/>
      <c r="E19" s="1"/>
    </row>
    <row r="20" spans="1:5" ht="15" customHeight="1" x14ac:dyDescent="0.25">
      <c r="A20" s="1"/>
      <c r="B20" s="31" t="s">
        <v>181</v>
      </c>
      <c r="C20" s="10">
        <f>'Fane 7. Kontrol af ØR2021'!E34</f>
        <v>0</v>
      </c>
      <c r="D20" s="11" t="s">
        <v>3</v>
      </c>
      <c r="E20" s="1"/>
    </row>
    <row r="21" spans="1:5" x14ac:dyDescent="0.25">
      <c r="A21" s="1"/>
      <c r="B21" s="30" t="s">
        <v>175</v>
      </c>
      <c r="C21" s="28"/>
      <c r="D21" s="19"/>
      <c r="E21" s="1"/>
    </row>
    <row r="22" spans="1:5" x14ac:dyDescent="0.25">
      <c r="A22" s="1"/>
      <c r="B22" s="92" t="s">
        <v>176</v>
      </c>
      <c r="C22" s="10">
        <f>'Fane 8. Skattesagen'!G15</f>
        <v>0</v>
      </c>
      <c r="D22" s="11" t="s">
        <v>3</v>
      </c>
      <c r="E22" s="1"/>
    </row>
    <row r="23" spans="1:5" x14ac:dyDescent="0.25">
      <c r="A23" s="1"/>
      <c r="B23" s="33" t="s">
        <v>191</v>
      </c>
      <c r="C23" s="12">
        <f>SUM(C14,C16,C18,C20,C22)</f>
        <v>62314895.93970561</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IWllXiunIq//s4SK6t2KRhdMLpfo0azQJfSaTTcgnqGGg2fiW0BhZ9sKiQyNqpoEpGd9Ko2CoJawWtmb1XJoVw==" saltValue="iVTB4KaFwSN0H6NuV7MdMg=="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52"/>
  <sheetViews>
    <sheetView showGridLines="0" view="pageLayout" zoomScale="99" zoomScaleNormal="100" zoomScalePageLayoutView="99" workbookViewId="0"/>
  </sheetViews>
  <sheetFormatPr defaultColWidth="9.140625" defaultRowHeight="15" x14ac:dyDescent="0.25"/>
  <cols>
    <col min="1" max="1" width="7.85546875" style="2" customWidth="1"/>
    <col min="2" max="2" width="12.28515625" style="2" customWidth="1"/>
    <col min="3" max="3" width="12" style="2" customWidth="1"/>
    <col min="4" max="4" width="26" style="2" customWidth="1"/>
    <col min="5" max="5" width="10.85546875" style="2"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2" t="s">
        <v>192</v>
      </c>
      <c r="C3" s="132"/>
      <c r="D3" s="132"/>
      <c r="E3" s="132"/>
      <c r="F3" s="132"/>
      <c r="G3" s="1"/>
    </row>
    <row r="4" spans="1:7" ht="29.25" customHeight="1" x14ac:dyDescent="0.25">
      <c r="A4" s="1"/>
      <c r="B4" s="132"/>
      <c r="C4" s="132"/>
      <c r="D4" s="132"/>
      <c r="E4" s="132"/>
      <c r="F4" s="13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219</v>
      </c>
      <c r="C8" s="28"/>
      <c r="D8" s="28"/>
      <c r="E8" s="28"/>
      <c r="F8" s="19"/>
      <c r="G8" s="1"/>
    </row>
    <row r="9" spans="1:7" ht="15" customHeight="1" x14ac:dyDescent="0.25">
      <c r="A9" s="1"/>
      <c r="B9" s="127" t="s">
        <v>193</v>
      </c>
      <c r="C9" s="128"/>
      <c r="D9" s="129"/>
      <c r="E9" s="7">
        <v>57421252.489208557</v>
      </c>
      <c r="F9" s="8" t="s">
        <v>3</v>
      </c>
      <c r="G9" s="1"/>
    </row>
    <row r="10" spans="1:7" ht="15" customHeight="1" x14ac:dyDescent="0.25">
      <c r="A10" s="1"/>
      <c r="B10" s="118" t="s">
        <v>39</v>
      </c>
      <c r="C10" s="119"/>
      <c r="D10" s="120"/>
      <c r="E10" s="7">
        <v>0</v>
      </c>
      <c r="F10" s="8" t="s">
        <v>3</v>
      </c>
      <c r="G10" s="1"/>
    </row>
    <row r="11" spans="1:7" ht="15" customHeight="1" x14ac:dyDescent="0.25">
      <c r="A11" s="1"/>
      <c r="B11" s="118" t="s">
        <v>40</v>
      </c>
      <c r="C11" s="119"/>
      <c r="D11" s="120"/>
      <c r="E11" s="9">
        <v>0</v>
      </c>
      <c r="F11" s="8" t="s">
        <v>3</v>
      </c>
      <c r="G11" s="1"/>
    </row>
    <row r="12" spans="1:7" ht="15" customHeight="1" x14ac:dyDescent="0.25">
      <c r="A12" s="1"/>
      <c r="B12" s="118" t="s">
        <v>27</v>
      </c>
      <c r="C12" s="119"/>
      <c r="D12" s="120"/>
      <c r="E12" s="9">
        <v>0</v>
      </c>
      <c r="F12" s="8" t="s">
        <v>3</v>
      </c>
      <c r="G12" s="1"/>
    </row>
    <row r="13" spans="1:7" ht="15" customHeight="1" x14ac:dyDescent="0.25">
      <c r="A13" s="1"/>
      <c r="B13" s="127" t="s">
        <v>26</v>
      </c>
      <c r="C13" s="128"/>
      <c r="D13" s="129"/>
      <c r="E13" s="9">
        <v>0</v>
      </c>
      <c r="F13" s="8" t="s">
        <v>3</v>
      </c>
      <c r="G13" s="1"/>
    </row>
    <row r="14" spans="1:7" ht="15" customHeight="1" x14ac:dyDescent="0.25">
      <c r="A14" s="1"/>
      <c r="B14" s="127" t="s">
        <v>29</v>
      </c>
      <c r="C14" s="128"/>
      <c r="D14" s="129"/>
      <c r="E14" s="9">
        <v>0</v>
      </c>
      <c r="F14" s="8" t="s">
        <v>3</v>
      </c>
      <c r="G14" s="1"/>
    </row>
    <row r="15" spans="1:7" ht="15" customHeight="1" x14ac:dyDescent="0.25">
      <c r="A15" s="1"/>
      <c r="B15" s="127" t="s">
        <v>28</v>
      </c>
      <c r="C15" s="128"/>
      <c r="D15" s="129"/>
      <c r="E15" s="9">
        <v>0</v>
      </c>
      <c r="F15" s="8" t="s">
        <v>3</v>
      </c>
      <c r="G15" s="1"/>
    </row>
    <row r="16" spans="1:7" ht="15" customHeight="1" x14ac:dyDescent="0.25">
      <c r="A16" s="1"/>
      <c r="B16" s="127" t="s">
        <v>19</v>
      </c>
      <c r="C16" s="128"/>
      <c r="D16" s="129"/>
      <c r="E16" s="9">
        <f>SUM(E9:E15)*'Fane 15. Nøgletal'!C14</f>
        <v>189490.13321438825</v>
      </c>
      <c r="F16" s="8" t="s">
        <v>3</v>
      </c>
      <c r="G16" s="1"/>
    </row>
    <row r="17" spans="1:7" ht="15" customHeight="1" x14ac:dyDescent="0.25">
      <c r="A17" s="1"/>
      <c r="B17" s="127" t="s">
        <v>10</v>
      </c>
      <c r="C17" s="128"/>
      <c r="D17" s="129"/>
      <c r="E17" s="9">
        <v>-105870.7223249714</v>
      </c>
      <c r="F17" s="8" t="s">
        <v>3</v>
      </c>
      <c r="G17" s="1"/>
    </row>
    <row r="18" spans="1:7" ht="15" customHeight="1" x14ac:dyDescent="0.25">
      <c r="A18" s="1"/>
      <c r="B18" s="127" t="s">
        <v>24</v>
      </c>
      <c r="C18" s="128"/>
      <c r="D18" s="129"/>
      <c r="E18" s="9">
        <f>-'Fane 4.1. Gen. krav - drift'!G39</f>
        <v>-352207.20150883874</v>
      </c>
      <c r="F18" s="8" t="s">
        <v>3</v>
      </c>
      <c r="G18" s="1"/>
    </row>
    <row r="19" spans="1:7" ht="15" customHeight="1" x14ac:dyDescent="0.25">
      <c r="A19" s="1"/>
      <c r="B19" s="127" t="s">
        <v>25</v>
      </c>
      <c r="C19" s="128"/>
      <c r="D19" s="129"/>
      <c r="E19" s="9">
        <f>-'Fane 4.2. Gen. krav - anlæg'!G37</f>
        <v>-606406.06348730414</v>
      </c>
      <c r="F19" s="8" t="s">
        <v>3</v>
      </c>
      <c r="G19" s="1"/>
    </row>
    <row r="20" spans="1:7" ht="15" customHeight="1" x14ac:dyDescent="0.25">
      <c r="A20" s="1"/>
      <c r="B20" s="56" t="s">
        <v>21</v>
      </c>
      <c r="C20" s="86"/>
      <c r="D20" s="93"/>
      <c r="E20" s="53">
        <f>SUM(E9:E19)</f>
        <v>56546258.635101825</v>
      </c>
      <c r="F20" s="55" t="s">
        <v>3</v>
      </c>
      <c r="G20" s="1"/>
    </row>
    <row r="21" spans="1:7" ht="15" customHeight="1" x14ac:dyDescent="0.25">
      <c r="A21" s="1"/>
      <c r="B21" s="33" t="s">
        <v>12</v>
      </c>
      <c r="C21" s="28"/>
      <c r="D21" s="28"/>
      <c r="E21" s="28"/>
      <c r="F21" s="19"/>
      <c r="G21" s="1"/>
    </row>
    <row r="22" spans="1:7" ht="15" customHeight="1" x14ac:dyDescent="0.25">
      <c r="A22" s="1"/>
      <c r="B22" s="121" t="s">
        <v>12</v>
      </c>
      <c r="C22" s="122"/>
      <c r="D22" s="123"/>
      <c r="E22" s="10">
        <v>1172128.9252535901</v>
      </c>
      <c r="F22" s="11" t="s">
        <v>3</v>
      </c>
      <c r="G22" s="1"/>
    </row>
    <row r="23" spans="1:7" ht="15" customHeight="1" x14ac:dyDescent="0.25">
      <c r="A23" s="1"/>
      <c r="B23" s="124" t="s">
        <v>86</v>
      </c>
      <c r="C23" s="125"/>
      <c r="D23" s="126"/>
      <c r="E23" s="28"/>
      <c r="F23" s="28"/>
      <c r="G23" s="1"/>
    </row>
    <row r="24" spans="1:7" ht="15" customHeight="1" x14ac:dyDescent="0.25">
      <c r="A24" s="1"/>
      <c r="B24" s="85" t="s">
        <v>86</v>
      </c>
      <c r="C24" s="38"/>
      <c r="D24" s="39"/>
      <c r="E24" s="10">
        <v>262706.80428379239</v>
      </c>
      <c r="F24" s="11" t="s">
        <v>3</v>
      </c>
      <c r="G24" s="1"/>
    </row>
    <row r="25" spans="1:7" x14ac:dyDescent="0.25">
      <c r="A25" s="1"/>
      <c r="B25" s="33" t="s">
        <v>85</v>
      </c>
      <c r="C25" s="28"/>
      <c r="D25" s="28"/>
      <c r="E25" s="28"/>
      <c r="F25" s="19"/>
      <c r="G25" s="1"/>
    </row>
    <row r="26" spans="1:7" ht="15" customHeight="1" x14ac:dyDescent="0.25">
      <c r="A26" s="1"/>
      <c r="B26" s="118" t="s">
        <v>81</v>
      </c>
      <c r="C26" s="119"/>
      <c r="D26" s="120"/>
      <c r="E26" s="9">
        <v>0</v>
      </c>
      <c r="F26" s="8" t="s">
        <v>3</v>
      </c>
      <c r="G26" s="1"/>
    </row>
    <row r="27" spans="1:7" ht="15" customHeight="1" x14ac:dyDescent="0.25">
      <c r="A27" s="1"/>
      <c r="B27" s="118" t="s">
        <v>82</v>
      </c>
      <c r="C27" s="119"/>
      <c r="D27" s="119"/>
      <c r="E27" s="9">
        <v>0</v>
      </c>
      <c r="F27" s="8" t="s">
        <v>3</v>
      </c>
      <c r="G27" s="1"/>
    </row>
    <row r="28" spans="1:7" ht="15" customHeight="1" x14ac:dyDescent="0.25">
      <c r="A28" s="1"/>
      <c r="B28" s="130" t="s">
        <v>87</v>
      </c>
      <c r="C28" s="131"/>
      <c r="D28" s="131"/>
      <c r="E28" s="40">
        <v>0</v>
      </c>
      <c r="F28" s="11" t="s">
        <v>3</v>
      </c>
      <c r="G28" s="1"/>
    </row>
    <row r="29" spans="1:7" ht="15" customHeight="1" x14ac:dyDescent="0.25">
      <c r="A29" s="1"/>
      <c r="B29" s="33" t="s">
        <v>143</v>
      </c>
      <c r="C29" s="33"/>
      <c r="D29" s="33"/>
      <c r="E29" s="28"/>
      <c r="F29" s="28"/>
      <c r="G29" s="1"/>
    </row>
    <row r="30" spans="1:7" ht="15" customHeight="1" x14ac:dyDescent="0.25">
      <c r="A30" s="1"/>
      <c r="B30" s="121" t="s">
        <v>142</v>
      </c>
      <c r="C30" s="122"/>
      <c r="D30" s="122"/>
      <c r="E30" s="40">
        <v>0</v>
      </c>
      <c r="F30" s="11" t="s">
        <v>3</v>
      </c>
      <c r="G30" s="1"/>
    </row>
    <row r="31" spans="1:7" x14ac:dyDescent="0.25">
      <c r="A31" s="1"/>
      <c r="B31" s="33" t="s">
        <v>123</v>
      </c>
      <c r="C31" s="28"/>
      <c r="D31" s="28"/>
      <c r="E31" s="28"/>
      <c r="F31" s="28"/>
      <c r="G31" s="1"/>
    </row>
    <row r="32" spans="1:7" ht="15.4" customHeight="1" x14ac:dyDescent="0.25">
      <c r="A32" s="1"/>
      <c r="B32" s="121" t="s">
        <v>123</v>
      </c>
      <c r="C32" s="122"/>
      <c r="D32" s="123"/>
      <c r="E32" s="10">
        <v>-220487.21006935</v>
      </c>
      <c r="F32" s="11" t="s">
        <v>3</v>
      </c>
      <c r="G32" s="1"/>
    </row>
    <row r="33" spans="1:7" ht="15.4" customHeight="1" x14ac:dyDescent="0.25">
      <c r="A33" s="1"/>
      <c r="B33" s="124" t="s">
        <v>175</v>
      </c>
      <c r="C33" s="125"/>
      <c r="D33" s="125"/>
      <c r="E33" s="125"/>
      <c r="F33" s="126"/>
      <c r="G33" s="1"/>
    </row>
    <row r="34" spans="1:7" ht="15.4" customHeight="1" x14ac:dyDescent="0.25">
      <c r="A34" s="1"/>
      <c r="B34" s="92" t="s">
        <v>176</v>
      </c>
      <c r="C34" s="10"/>
      <c r="D34" s="11"/>
      <c r="E34" s="10">
        <f>'Fane 8. Skattesagen'!G11</f>
        <v>0</v>
      </c>
      <c r="F34" s="11" t="s">
        <v>3</v>
      </c>
      <c r="G34" s="1"/>
    </row>
    <row r="35" spans="1:7" x14ac:dyDescent="0.25">
      <c r="A35" s="1"/>
      <c r="B35" s="57" t="s">
        <v>220</v>
      </c>
      <c r="C35" s="58"/>
      <c r="D35" s="19"/>
      <c r="E35" s="46">
        <f>SUM(E32,E30,E28,E24,E22,E20,E34)</f>
        <v>57760607.154569857</v>
      </c>
      <c r="F35" s="54" t="s">
        <v>3</v>
      </c>
      <c r="G35" s="1"/>
    </row>
    <row r="36" spans="1:7" ht="27" customHeight="1" x14ac:dyDescent="0.25">
      <c r="A36" s="1"/>
      <c r="B36" s="127" t="s">
        <v>224</v>
      </c>
      <c r="C36" s="128"/>
      <c r="D36" s="128"/>
      <c r="E36" s="128"/>
      <c r="F36" s="129"/>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51"/>
      <c r="B49" s="51"/>
      <c r="C49" s="51"/>
      <c r="D49" s="51"/>
      <c r="E49" s="51"/>
      <c r="F49" s="51"/>
      <c r="G49" s="51"/>
    </row>
    <row r="50" spans="1:7" x14ac:dyDescent="0.25">
      <c r="A50" s="51"/>
      <c r="B50" s="51"/>
      <c r="C50" s="51"/>
      <c r="D50" s="51"/>
      <c r="E50" s="51"/>
      <c r="F50" s="51"/>
      <c r="G50" s="51"/>
    </row>
    <row r="51" spans="1:7" x14ac:dyDescent="0.25">
      <c r="A51" s="51"/>
      <c r="B51" s="51"/>
      <c r="C51" s="51"/>
      <c r="D51" s="51"/>
      <c r="E51" s="51"/>
      <c r="F51" s="51"/>
      <c r="G51" s="51"/>
    </row>
    <row r="52" spans="1:7" x14ac:dyDescent="0.25">
      <c r="A52" s="51"/>
      <c r="B52" s="51"/>
      <c r="C52" s="51"/>
      <c r="D52" s="51"/>
      <c r="E52" s="51"/>
      <c r="F52" s="51"/>
      <c r="G52" s="51"/>
    </row>
  </sheetData>
  <sheetProtection algorithmName="SHA-512" hashValue="XmKVnqlNydTp6iCnyWKs0xqYrdYHduV+TcEX7xWv5TV3UqeuusIo36evncK3xGYBScwB6N0ECSV99QbPBv2CKw==" saltValue="9IYEujCImakXfhqzehjOBQ==" spinCount="100000" sheet="1" objects="1" scenarios="1"/>
  <mergeCells count="21">
    <mergeCell ref="B18:D18"/>
    <mergeCell ref="B19:D19"/>
    <mergeCell ref="B13:D13"/>
    <mergeCell ref="B14:D14"/>
    <mergeCell ref="B15:D15"/>
    <mergeCell ref="B16:D16"/>
    <mergeCell ref="B17:D17"/>
    <mergeCell ref="B3:F4"/>
    <mergeCell ref="B9:D9"/>
    <mergeCell ref="B10:D10"/>
    <mergeCell ref="B11:D11"/>
    <mergeCell ref="B12:D12"/>
    <mergeCell ref="B26:D26"/>
    <mergeCell ref="B32:D32"/>
    <mergeCell ref="B22:D22"/>
    <mergeCell ref="B23:D23"/>
    <mergeCell ref="B36:F36"/>
    <mergeCell ref="B27:D27"/>
    <mergeCell ref="B28:D28"/>
    <mergeCell ref="B30:D30"/>
    <mergeCell ref="B33:F3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8"/>
  <sheetViews>
    <sheetView showGridLines="0" view="pageLayout" zoomScale="90" zoomScaleNormal="100" zoomScalePageLayoutView="9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7"/>
      <c r="C1" s="37"/>
      <c r="D1" s="37"/>
      <c r="E1" s="37"/>
      <c r="F1" s="37"/>
      <c r="G1" s="37"/>
      <c r="H1" s="37"/>
      <c r="I1" s="1"/>
    </row>
    <row r="2" spans="1:9" ht="15" customHeight="1" x14ac:dyDescent="0.25">
      <c r="A2" s="1"/>
      <c r="B2" s="132" t="s">
        <v>109</v>
      </c>
      <c r="C2" s="132"/>
      <c r="D2" s="132"/>
      <c r="E2" s="132"/>
      <c r="F2" s="132"/>
      <c r="G2" s="132"/>
      <c r="H2" s="132"/>
      <c r="I2" s="1"/>
    </row>
    <row r="3" spans="1:9" ht="28.5" customHeight="1" x14ac:dyDescent="0.25">
      <c r="A3" s="1"/>
      <c r="B3" s="132"/>
      <c r="C3" s="132"/>
      <c r="D3" s="132"/>
      <c r="E3" s="132"/>
      <c r="F3" s="132"/>
      <c r="G3" s="132"/>
      <c r="H3" s="132"/>
      <c r="I3" s="1"/>
    </row>
    <row r="4" spans="1:9" x14ac:dyDescent="0.25">
      <c r="A4" s="1"/>
      <c r="B4" s="124" t="s">
        <v>52</v>
      </c>
      <c r="C4" s="125"/>
      <c r="D4" s="125"/>
      <c r="E4" s="125"/>
      <c r="F4" s="125"/>
      <c r="G4" s="125"/>
      <c r="H4" s="126"/>
      <c r="I4" s="1"/>
    </row>
    <row r="5" spans="1:9" x14ac:dyDescent="0.25">
      <c r="A5" s="1"/>
      <c r="B5" s="133" t="s">
        <v>41</v>
      </c>
      <c r="C5" s="134"/>
      <c r="D5" s="134"/>
      <c r="E5" s="134"/>
      <c r="F5" s="135"/>
      <c r="G5" s="23">
        <v>18056740.819805335</v>
      </c>
      <c r="H5" s="14" t="s">
        <v>3</v>
      </c>
      <c r="I5" s="1"/>
    </row>
    <row r="6" spans="1:9" x14ac:dyDescent="0.25">
      <c r="A6" s="1"/>
      <c r="B6" s="127" t="s">
        <v>120</v>
      </c>
      <c r="C6" s="128"/>
      <c r="D6" s="128"/>
      <c r="E6" s="128"/>
      <c r="F6" s="129"/>
      <c r="G6" s="9">
        <v>483182</v>
      </c>
      <c r="H6" s="14" t="s">
        <v>3</v>
      </c>
      <c r="I6" s="1"/>
    </row>
    <row r="7" spans="1:9" x14ac:dyDescent="0.25">
      <c r="A7" s="1"/>
      <c r="B7" s="133" t="s">
        <v>42</v>
      </c>
      <c r="C7" s="134"/>
      <c r="D7" s="134"/>
      <c r="E7" s="134"/>
      <c r="F7" s="135"/>
      <c r="G7" s="23">
        <f>SUM(G5:G6)*'Fane 15. Nøgletal'!C31</f>
        <v>370798.45639610669</v>
      </c>
      <c r="H7" s="14" t="s">
        <v>3</v>
      </c>
      <c r="I7" s="1"/>
    </row>
    <row r="8" spans="1:9" x14ac:dyDescent="0.25">
      <c r="A8" s="1"/>
      <c r="B8" s="33"/>
      <c r="C8" s="28"/>
      <c r="D8" s="28"/>
      <c r="E8" s="28"/>
      <c r="F8" s="28"/>
      <c r="G8" s="28"/>
      <c r="H8" s="19"/>
      <c r="I8" s="1"/>
    </row>
    <row r="9" spans="1:9" x14ac:dyDescent="0.25">
      <c r="A9" s="1"/>
      <c r="B9" s="1"/>
      <c r="C9" s="1"/>
      <c r="D9" s="1"/>
      <c r="E9" s="1"/>
      <c r="F9" s="1"/>
      <c r="G9" s="1"/>
      <c r="H9" s="1"/>
      <c r="I9" s="1"/>
    </row>
    <row r="10" spans="1:9" x14ac:dyDescent="0.25">
      <c r="A10" s="1"/>
      <c r="B10" s="124" t="s">
        <v>53</v>
      </c>
      <c r="C10" s="125"/>
      <c r="D10" s="125"/>
      <c r="E10" s="125"/>
      <c r="F10" s="125"/>
      <c r="G10" s="125"/>
      <c r="H10" s="126"/>
      <c r="I10" s="1"/>
    </row>
    <row r="11" spans="1:9" x14ac:dyDescent="0.25">
      <c r="A11" s="1"/>
      <c r="B11" s="133" t="s">
        <v>43</v>
      </c>
      <c r="C11" s="134"/>
      <c r="D11" s="134"/>
      <c r="E11" s="134"/>
      <c r="F11" s="135"/>
      <c r="G11" s="23">
        <f>(G5-G7)*(1+'Fane 15. Nøgletal'!C10)</f>
        <v>17995446.354768891</v>
      </c>
      <c r="H11" s="14" t="s">
        <v>3</v>
      </c>
      <c r="I11" s="1"/>
    </row>
    <row r="12" spans="1:9" ht="15" customHeight="1" x14ac:dyDescent="0.25">
      <c r="A12" s="1"/>
      <c r="B12" s="133" t="s">
        <v>121</v>
      </c>
      <c r="C12" s="134"/>
      <c r="D12" s="134"/>
      <c r="E12" s="134"/>
      <c r="F12" s="135"/>
      <c r="G12" s="9">
        <v>-0.66000766517594456</v>
      </c>
      <c r="H12" s="14" t="s">
        <v>3</v>
      </c>
      <c r="I12" s="1"/>
    </row>
    <row r="13" spans="1:9" x14ac:dyDescent="0.25">
      <c r="A13" s="1"/>
      <c r="B13" s="127" t="s">
        <v>118</v>
      </c>
      <c r="C13" s="128"/>
      <c r="D13" s="128"/>
      <c r="E13" s="128"/>
      <c r="F13" s="129"/>
      <c r="G13" s="9">
        <v>423722.61250000005</v>
      </c>
      <c r="H13" s="14" t="s">
        <v>3</v>
      </c>
      <c r="I13" s="1"/>
    </row>
    <row r="14" spans="1:9" x14ac:dyDescent="0.25">
      <c r="A14" s="1"/>
      <c r="B14" s="136" t="s">
        <v>44</v>
      </c>
      <c r="C14" s="137"/>
      <c r="D14" s="137"/>
      <c r="E14" s="137"/>
      <c r="F14" s="138"/>
      <c r="G14" s="9">
        <v>0</v>
      </c>
      <c r="H14" s="14" t="s">
        <v>3</v>
      </c>
      <c r="I14" s="1"/>
    </row>
    <row r="15" spans="1:9" x14ac:dyDescent="0.25">
      <c r="A15" s="1"/>
      <c r="B15" s="133" t="s">
        <v>45</v>
      </c>
      <c r="C15" s="134"/>
      <c r="D15" s="134"/>
      <c r="E15" s="134"/>
      <c r="F15" s="135"/>
      <c r="G15" s="23">
        <f>SUM(G11:G14)*'Fane 15. Nøgletal'!C31</f>
        <v>368383.36614522449</v>
      </c>
      <c r="H15" s="14" t="s">
        <v>3</v>
      </c>
      <c r="I15" s="1"/>
    </row>
    <row r="16" spans="1:9" x14ac:dyDescent="0.25">
      <c r="A16" s="1"/>
      <c r="B16" s="33"/>
      <c r="C16" s="28"/>
      <c r="D16" s="28"/>
      <c r="E16" s="28"/>
      <c r="F16" s="28"/>
      <c r="G16" s="28"/>
      <c r="H16" s="19"/>
      <c r="I16" s="1"/>
    </row>
    <row r="17" spans="1:9" x14ac:dyDescent="0.25">
      <c r="A17" s="1"/>
      <c r="B17" s="1"/>
      <c r="C17" s="1"/>
      <c r="D17" s="1"/>
      <c r="E17" s="1"/>
      <c r="F17" s="1"/>
      <c r="G17" s="1"/>
      <c r="H17" s="1"/>
      <c r="I17" s="1"/>
    </row>
    <row r="18" spans="1:9" x14ac:dyDescent="0.25">
      <c r="A18" s="1"/>
      <c r="B18" s="124" t="s">
        <v>54</v>
      </c>
      <c r="C18" s="125"/>
      <c r="D18" s="125"/>
      <c r="E18" s="125"/>
      <c r="F18" s="125"/>
      <c r="G18" s="125"/>
      <c r="H18" s="126"/>
      <c r="I18" s="1"/>
    </row>
    <row r="19" spans="1:9" x14ac:dyDescent="0.25">
      <c r="A19" s="1"/>
      <c r="B19" s="133" t="s">
        <v>46</v>
      </c>
      <c r="C19" s="134"/>
      <c r="D19" s="134"/>
      <c r="E19" s="134"/>
      <c r="F19" s="135"/>
      <c r="G19" s="23">
        <f>(SUM(G11:G12,G14)-(G15))*(1+'Fane 15. Nøgletal'!C10)</f>
        <v>17935535.919366781</v>
      </c>
      <c r="H19" s="14" t="s">
        <v>3</v>
      </c>
      <c r="I19" s="1"/>
    </row>
    <row r="20" spans="1:9" x14ac:dyDescent="0.25">
      <c r="A20" s="1"/>
      <c r="B20" s="136" t="s">
        <v>47</v>
      </c>
      <c r="C20" s="137"/>
      <c r="D20" s="137"/>
      <c r="E20" s="137"/>
      <c r="F20" s="138"/>
      <c r="G20" s="9">
        <v>0</v>
      </c>
      <c r="H20" s="14" t="s">
        <v>3</v>
      </c>
      <c r="I20" s="1"/>
    </row>
    <row r="21" spans="1:9" x14ac:dyDescent="0.25">
      <c r="A21" s="1"/>
      <c r="B21" s="133" t="s">
        <v>48</v>
      </c>
      <c r="C21" s="134"/>
      <c r="D21" s="134"/>
      <c r="E21" s="134"/>
      <c r="F21" s="135"/>
      <c r="G21" s="23">
        <f>SUM(G19:G20)*'Fane 15. Nøgletal'!C31</f>
        <v>358710.7183873356</v>
      </c>
      <c r="H21" s="14" t="s">
        <v>3</v>
      </c>
      <c r="I21" s="1"/>
    </row>
    <row r="22" spans="1:9" x14ac:dyDescent="0.25">
      <c r="A22" s="1"/>
      <c r="B22" s="33"/>
      <c r="C22" s="28"/>
      <c r="D22" s="28"/>
      <c r="E22" s="28"/>
      <c r="F22" s="28"/>
      <c r="G22" s="28"/>
      <c r="H22" s="19"/>
      <c r="I22" s="1"/>
    </row>
    <row r="23" spans="1:9" x14ac:dyDescent="0.25">
      <c r="A23" s="1"/>
      <c r="B23" s="1"/>
      <c r="C23" s="1"/>
      <c r="D23" s="1"/>
      <c r="E23" s="1"/>
      <c r="F23" s="1"/>
      <c r="G23" s="1"/>
      <c r="H23" s="1"/>
      <c r="I23" s="1"/>
    </row>
    <row r="24" spans="1:9" x14ac:dyDescent="0.25">
      <c r="A24" s="1"/>
      <c r="B24" s="124" t="s">
        <v>55</v>
      </c>
      <c r="C24" s="125"/>
      <c r="D24" s="125"/>
      <c r="E24" s="125"/>
      <c r="F24" s="125"/>
      <c r="G24" s="125"/>
      <c r="H24" s="126"/>
      <c r="I24" s="1"/>
    </row>
    <row r="25" spans="1:9" x14ac:dyDescent="0.25">
      <c r="A25" s="1"/>
      <c r="B25" s="133" t="s">
        <v>49</v>
      </c>
      <c r="C25" s="134"/>
      <c r="D25" s="134"/>
      <c r="E25" s="134"/>
      <c r="F25" s="135"/>
      <c r="G25" s="23">
        <f>(G19+G20-G21)*(1+'Fane 15. Nøgletal'!C12)</f>
        <v>17923088.65743874</v>
      </c>
      <c r="H25" s="14" t="s">
        <v>3</v>
      </c>
      <c r="I25" s="1"/>
    </row>
    <row r="26" spans="1:9" x14ac:dyDescent="0.25">
      <c r="A26" s="1"/>
      <c r="B26" s="136" t="s">
        <v>50</v>
      </c>
      <c r="C26" s="137"/>
      <c r="D26" s="137"/>
      <c r="E26" s="137"/>
      <c r="F26" s="138"/>
      <c r="G26" s="9">
        <v>0</v>
      </c>
      <c r="H26" s="14" t="s">
        <v>3</v>
      </c>
      <c r="I26" s="1"/>
    </row>
    <row r="27" spans="1:9" x14ac:dyDescent="0.25">
      <c r="A27" s="1"/>
      <c r="B27" s="133" t="s">
        <v>51</v>
      </c>
      <c r="C27" s="134"/>
      <c r="D27" s="134"/>
      <c r="E27" s="134"/>
      <c r="F27" s="135"/>
      <c r="G27" s="23">
        <f>(G25+G26)*'Fane 15. Nøgletal'!C31</f>
        <v>358461.77314877481</v>
      </c>
      <c r="H27" s="14" t="s">
        <v>3</v>
      </c>
      <c r="I27" s="1"/>
    </row>
    <row r="28" spans="1:9" x14ac:dyDescent="0.25">
      <c r="A28" s="1"/>
      <c r="B28" s="33"/>
      <c r="C28" s="28"/>
      <c r="D28" s="28"/>
      <c r="E28" s="28"/>
      <c r="F28" s="28"/>
      <c r="G28" s="28"/>
      <c r="H28" s="19"/>
      <c r="I28" s="1"/>
    </row>
    <row r="29" spans="1:9" x14ac:dyDescent="0.25">
      <c r="A29" s="1"/>
      <c r="B29" s="1"/>
      <c r="C29" s="1"/>
      <c r="D29" s="1"/>
      <c r="E29" s="1"/>
      <c r="F29" s="1"/>
      <c r="G29" s="1"/>
      <c r="H29" s="1"/>
      <c r="I29" s="1"/>
    </row>
    <row r="30" spans="1:9" x14ac:dyDescent="0.25">
      <c r="A30" s="1"/>
      <c r="B30" s="124" t="s">
        <v>58</v>
      </c>
      <c r="C30" s="125"/>
      <c r="D30" s="125"/>
      <c r="E30" s="125"/>
      <c r="F30" s="125"/>
      <c r="G30" s="125"/>
      <c r="H30" s="126"/>
      <c r="I30" s="1"/>
    </row>
    <row r="31" spans="1:9" x14ac:dyDescent="0.25">
      <c r="A31" s="1"/>
      <c r="B31" s="133" t="s">
        <v>59</v>
      </c>
      <c r="C31" s="134"/>
      <c r="D31" s="134"/>
      <c r="E31" s="134"/>
      <c r="F31" s="135"/>
      <c r="G31" s="23">
        <f>(G25+G26-G27)*(1+'Fane 15. Nøgletal'!C12)</f>
        <v>17910650.033910479</v>
      </c>
      <c r="H31" s="14" t="s">
        <v>3</v>
      </c>
      <c r="I31" s="1"/>
    </row>
    <row r="32" spans="1:9" x14ac:dyDescent="0.25">
      <c r="A32" s="1"/>
      <c r="B32" s="133" t="s">
        <v>137</v>
      </c>
      <c r="C32" s="134"/>
      <c r="D32" s="134"/>
      <c r="E32" s="134"/>
      <c r="F32" s="135"/>
      <c r="G32" s="9">
        <v>0</v>
      </c>
      <c r="H32" s="14" t="s">
        <v>3</v>
      </c>
      <c r="I32" s="1"/>
    </row>
    <row r="33" spans="1:9" x14ac:dyDescent="0.25">
      <c r="A33" s="1"/>
      <c r="B33" s="133" t="s">
        <v>60</v>
      </c>
      <c r="C33" s="134"/>
      <c r="D33" s="134"/>
      <c r="E33" s="134"/>
      <c r="F33" s="135"/>
      <c r="G33" s="23">
        <f>(G31+G32)*'Fane 15. Nøgletal'!C31</f>
        <v>358213.00067820959</v>
      </c>
      <c r="H33" s="14" t="s">
        <v>3</v>
      </c>
      <c r="I33" s="1"/>
    </row>
    <row r="34" spans="1:9" x14ac:dyDescent="0.25">
      <c r="A34" s="1"/>
      <c r="B34" s="33"/>
      <c r="C34" s="28"/>
      <c r="D34" s="28"/>
      <c r="E34" s="28"/>
      <c r="F34" s="28"/>
      <c r="G34" s="28"/>
      <c r="H34" s="19"/>
      <c r="I34" s="1"/>
    </row>
    <row r="35" spans="1:9" x14ac:dyDescent="0.25">
      <c r="A35" s="1"/>
      <c r="B35" s="1"/>
      <c r="C35" s="1"/>
      <c r="D35" s="1"/>
      <c r="E35" s="1"/>
      <c r="F35" s="1"/>
      <c r="G35" s="1"/>
      <c r="H35" s="1"/>
      <c r="I35" s="1"/>
    </row>
    <row r="36" spans="1:9" x14ac:dyDescent="0.25">
      <c r="A36" s="1"/>
      <c r="B36" s="124" t="s">
        <v>160</v>
      </c>
      <c r="C36" s="125"/>
      <c r="D36" s="125"/>
      <c r="E36" s="125"/>
      <c r="F36" s="125"/>
      <c r="G36" s="125"/>
      <c r="H36" s="126"/>
      <c r="I36" s="1"/>
    </row>
    <row r="37" spans="1:9" x14ac:dyDescent="0.25">
      <c r="A37" s="1"/>
      <c r="B37" s="133" t="s">
        <v>79</v>
      </c>
      <c r="C37" s="134"/>
      <c r="D37" s="134"/>
      <c r="E37" s="134"/>
      <c r="F37" s="135"/>
      <c r="G37" s="23">
        <f>(G31+G32-G33)*(1+'Fane 15. Nøgletal'!C14)</f>
        <v>17610360.075441938</v>
      </c>
      <c r="H37" s="14" t="s">
        <v>3</v>
      </c>
      <c r="I37" s="1"/>
    </row>
    <row r="38" spans="1:9" x14ac:dyDescent="0.25">
      <c r="A38" s="1"/>
      <c r="B38" s="133" t="s">
        <v>164</v>
      </c>
      <c r="C38" s="134"/>
      <c r="D38" s="134"/>
      <c r="E38" s="134"/>
      <c r="F38" s="135"/>
      <c r="G38" s="9">
        <v>0</v>
      </c>
      <c r="H38" s="14" t="s">
        <v>3</v>
      </c>
      <c r="I38" s="1"/>
    </row>
    <row r="39" spans="1:9" x14ac:dyDescent="0.25">
      <c r="A39" s="1"/>
      <c r="B39" s="133" t="s">
        <v>162</v>
      </c>
      <c r="C39" s="134"/>
      <c r="D39" s="134"/>
      <c r="E39" s="134"/>
      <c r="F39" s="135"/>
      <c r="G39" s="23">
        <f>(G37+G38)*'Fane 15. Nøgletal'!C31</f>
        <v>352207.20150883874</v>
      </c>
      <c r="H39" s="14" t="s">
        <v>3</v>
      </c>
      <c r="I39" s="1"/>
    </row>
    <row r="40" spans="1:9" x14ac:dyDescent="0.25">
      <c r="A40" s="1"/>
      <c r="B40" s="33"/>
      <c r="C40" s="28"/>
      <c r="D40" s="28"/>
      <c r="E40" s="28"/>
      <c r="F40" s="28"/>
      <c r="G40" s="28"/>
      <c r="H40" s="19"/>
      <c r="I40" s="1"/>
    </row>
    <row r="41" spans="1:9" x14ac:dyDescent="0.25">
      <c r="A41" s="1"/>
      <c r="B41" s="1"/>
      <c r="C41" s="1"/>
      <c r="D41" s="1"/>
      <c r="E41" s="1"/>
      <c r="F41" s="1"/>
      <c r="G41" s="1"/>
      <c r="H41" s="1"/>
      <c r="I41" s="1"/>
    </row>
    <row r="42" spans="1:9" x14ac:dyDescent="0.25">
      <c r="A42" s="1"/>
      <c r="B42" s="124" t="s">
        <v>161</v>
      </c>
      <c r="C42" s="125"/>
      <c r="D42" s="125"/>
      <c r="E42" s="125"/>
      <c r="F42" s="125"/>
      <c r="G42" s="125"/>
      <c r="H42" s="126"/>
      <c r="I42" s="1"/>
    </row>
    <row r="43" spans="1:9" x14ac:dyDescent="0.25">
      <c r="A43" s="1"/>
      <c r="B43" s="133" t="s">
        <v>230</v>
      </c>
      <c r="C43" s="134"/>
      <c r="D43" s="134"/>
      <c r="E43" s="134"/>
      <c r="F43" s="135"/>
      <c r="G43" s="23">
        <f>(G37+G38-G39)*(1+'Fane 15. Nøgletal'!C14)</f>
        <v>17315104.778417081</v>
      </c>
      <c r="H43" s="14" t="s">
        <v>3</v>
      </c>
      <c r="I43" s="1"/>
    </row>
    <row r="44" spans="1:9" x14ac:dyDescent="0.25">
      <c r="A44" s="1"/>
      <c r="B44" s="139" t="s">
        <v>232</v>
      </c>
      <c r="C44" s="140"/>
      <c r="D44" s="140"/>
      <c r="E44" s="140"/>
      <c r="F44" s="141"/>
      <c r="G44" s="9">
        <f>('Fane 2.1. Økonomisk ramme 2023'!C10+'Fane 2.1. Økonomisk ramme 2023'!C12+'Fane 2.1. Økonomisk ramme 2023'!C14)*(1+'Fane 15. Nøgletal'!C15)</f>
        <v>0</v>
      </c>
      <c r="H44" s="14" t="s">
        <v>3</v>
      </c>
      <c r="I44" s="1"/>
    </row>
    <row r="45" spans="1:9" x14ac:dyDescent="0.25">
      <c r="A45" s="1"/>
      <c r="B45" s="133" t="s">
        <v>163</v>
      </c>
      <c r="C45" s="134"/>
      <c r="D45" s="134"/>
      <c r="E45" s="134"/>
      <c r="F45" s="135"/>
      <c r="G45" s="23">
        <f>SUM(G43:G44)*'Fane 15. Nøgletal'!C31</f>
        <v>346302.09556834161</v>
      </c>
      <c r="H45" s="14" t="s">
        <v>3</v>
      </c>
      <c r="I45" s="1"/>
    </row>
    <row r="46" spans="1:9" x14ac:dyDescent="0.25">
      <c r="A46" s="1"/>
      <c r="B46" s="33"/>
      <c r="C46" s="28"/>
      <c r="D46" s="28"/>
      <c r="E46" s="28"/>
      <c r="F46" s="28"/>
      <c r="G46" s="28"/>
      <c r="H46" s="19"/>
      <c r="I46" s="1"/>
    </row>
    <row r="47" spans="1:9" x14ac:dyDescent="0.25">
      <c r="A47" s="1"/>
      <c r="B47" s="1"/>
      <c r="C47" s="1"/>
      <c r="D47" s="1"/>
      <c r="E47" s="1"/>
      <c r="F47" s="1"/>
      <c r="G47" s="1"/>
      <c r="H47" s="1"/>
      <c r="I47" s="1"/>
    </row>
    <row r="48" spans="1:9" x14ac:dyDescent="0.25">
      <c r="A48" s="1"/>
      <c r="B48" s="1"/>
      <c r="C48" s="1"/>
      <c r="D48" s="1"/>
      <c r="E48" s="1"/>
      <c r="F48" s="1"/>
      <c r="G48" s="49"/>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24" t="s">
        <v>243</v>
      </c>
      <c r="C51" s="125"/>
      <c r="D51" s="125"/>
      <c r="E51" s="125"/>
      <c r="F51" s="125"/>
      <c r="G51" s="125"/>
      <c r="H51" s="126"/>
      <c r="I51" s="1"/>
    </row>
    <row r="52" spans="1:9" x14ac:dyDescent="0.25">
      <c r="A52" s="1"/>
      <c r="B52" s="133" t="s">
        <v>229</v>
      </c>
      <c r="C52" s="134"/>
      <c r="D52" s="134"/>
      <c r="E52" s="134"/>
      <c r="F52" s="135"/>
      <c r="G52" s="23">
        <f>(G43+G44-G45)*(1+'Fane 15. Nøgletal'!C15)</f>
        <v>17572892.058358155</v>
      </c>
      <c r="H52" s="14" t="s">
        <v>3</v>
      </c>
      <c r="I52" s="1"/>
    </row>
    <row r="53" spans="1:9" x14ac:dyDescent="0.25">
      <c r="A53" s="1"/>
      <c r="B53" s="133" t="s">
        <v>138</v>
      </c>
      <c r="C53" s="134"/>
      <c r="D53" s="134"/>
      <c r="E53" s="134"/>
      <c r="F53" s="135"/>
      <c r="G53" s="23">
        <f>(G52)*'Fane 15. Nøgletal'!C31</f>
        <v>351457.8411671631</v>
      </c>
      <c r="H53" s="14" t="s">
        <v>3</v>
      </c>
      <c r="I53" s="1"/>
    </row>
    <row r="54" spans="1:9" x14ac:dyDescent="0.25">
      <c r="A54" s="1"/>
      <c r="B54" s="33"/>
      <c r="C54" s="28"/>
      <c r="D54" s="28"/>
      <c r="E54" s="28"/>
      <c r="F54" s="28"/>
      <c r="G54" s="28"/>
      <c r="H54" s="19"/>
      <c r="I54" s="1"/>
    </row>
    <row r="55" spans="1:9" x14ac:dyDescent="0.25">
      <c r="A55" s="1"/>
      <c r="B55" s="1"/>
      <c r="C55" s="1"/>
      <c r="D55" s="1"/>
      <c r="E55" s="1"/>
      <c r="F55" s="1"/>
      <c r="G55" s="1"/>
      <c r="H55" s="1"/>
      <c r="I55" s="1"/>
    </row>
    <row r="56" spans="1:9" x14ac:dyDescent="0.25">
      <c r="A56" s="1"/>
      <c r="B56" s="124" t="s">
        <v>150</v>
      </c>
      <c r="C56" s="125"/>
      <c r="D56" s="125"/>
      <c r="E56" s="125"/>
      <c r="F56" s="125"/>
      <c r="G56" s="125"/>
      <c r="H56" s="126"/>
      <c r="I56" s="1"/>
    </row>
    <row r="57" spans="1:9" x14ac:dyDescent="0.25">
      <c r="A57" s="1"/>
      <c r="B57" s="88" t="s">
        <v>151</v>
      </c>
      <c r="C57" s="89"/>
      <c r="D57" s="89"/>
      <c r="E57" s="89"/>
      <c r="F57" s="90"/>
      <c r="G57" s="23">
        <f>(G52-G53)*(1+'Fane 15. Nøgletal'!C15)</f>
        <v>17834517.275322992</v>
      </c>
      <c r="H57" s="14" t="s">
        <v>3</v>
      </c>
      <c r="I57" s="1"/>
    </row>
    <row r="58" spans="1:9" x14ac:dyDescent="0.25">
      <c r="A58" s="1"/>
      <c r="B58" s="88" t="s">
        <v>152</v>
      </c>
      <c r="C58" s="89"/>
      <c r="D58" s="89"/>
      <c r="E58" s="89"/>
      <c r="F58" s="90"/>
      <c r="G58" s="23">
        <f>(G57)*'Fane 15. Nøgletal'!C31</f>
        <v>356690.34550645988</v>
      </c>
      <c r="H58" s="14" t="s">
        <v>3</v>
      </c>
      <c r="I58" s="1"/>
    </row>
    <row r="59" spans="1:9" x14ac:dyDescent="0.25">
      <c r="A59" s="1"/>
      <c r="B59" s="33"/>
      <c r="C59" s="28"/>
      <c r="D59" s="28"/>
      <c r="E59" s="28"/>
      <c r="F59" s="28"/>
      <c r="G59" s="28"/>
      <c r="H59" s="19"/>
      <c r="I59" s="1"/>
    </row>
    <row r="60" spans="1:9" x14ac:dyDescent="0.25">
      <c r="A60" s="1"/>
      <c r="B60" s="1"/>
      <c r="C60" s="1"/>
      <c r="D60" s="1"/>
      <c r="E60" s="1"/>
      <c r="F60" s="1"/>
      <c r="G60" s="1"/>
      <c r="H60" s="1"/>
      <c r="I60" s="1"/>
    </row>
    <row r="61" spans="1:9" x14ac:dyDescent="0.25">
      <c r="A61" s="1"/>
      <c r="B61" s="124" t="s">
        <v>194</v>
      </c>
      <c r="C61" s="125"/>
      <c r="D61" s="125"/>
      <c r="E61" s="125"/>
      <c r="F61" s="125"/>
      <c r="G61" s="125"/>
      <c r="H61" s="126"/>
      <c r="I61" s="1"/>
    </row>
    <row r="62" spans="1:9" x14ac:dyDescent="0.25">
      <c r="A62" s="1"/>
      <c r="B62" s="88" t="s">
        <v>195</v>
      </c>
      <c r="C62" s="89"/>
      <c r="D62" s="89"/>
      <c r="E62" s="89"/>
      <c r="F62" s="90"/>
      <c r="G62" s="23">
        <f>(G57-G58)*(1+'Fane 15. Nøgletal'!C15)</f>
        <v>18100037.568518002</v>
      </c>
      <c r="H62" s="14" t="s">
        <v>3</v>
      </c>
      <c r="I62" s="1"/>
    </row>
    <row r="63" spans="1:9" x14ac:dyDescent="0.25">
      <c r="A63" s="1"/>
      <c r="B63" s="88" t="s">
        <v>196</v>
      </c>
      <c r="C63" s="89"/>
      <c r="D63" s="89"/>
      <c r="E63" s="89"/>
      <c r="F63" s="90"/>
      <c r="G63" s="23">
        <f>(G62)*'Fane 15. Nøgletal'!C31</f>
        <v>362000.75137036003</v>
      </c>
      <c r="H63" s="14" t="s">
        <v>3</v>
      </c>
      <c r="I63" s="1"/>
    </row>
    <row r="64" spans="1:9" x14ac:dyDescent="0.25">
      <c r="A64" s="1"/>
      <c r="B64" s="33"/>
      <c r="C64" s="28"/>
      <c r="D64" s="28"/>
      <c r="E64" s="28"/>
      <c r="F64" s="28"/>
      <c r="G64" s="28"/>
      <c r="H64" s="19"/>
      <c r="I64" s="1"/>
    </row>
    <row r="65" spans="1:9" x14ac:dyDescent="0.25">
      <c r="A65" s="1"/>
      <c r="B65" s="1"/>
      <c r="C65" s="1"/>
      <c r="D65" s="1"/>
      <c r="E65" s="1"/>
      <c r="F65" s="1"/>
      <c r="G65" s="1"/>
      <c r="H65" s="1"/>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52"/>
    </row>
  </sheetData>
  <sheetProtection algorithmName="SHA-512" hashValue="yQwnA85xfyTB0slLmep96KCtesz2hHfhYTXstBaK2whr0dZ8alOTyAqKBzl2GpjQm4Hegtwp/Xi85EdkbLRHOQ==" saltValue="WDrBFgXb9xGQIPliTSmUtg==" spinCount="100000" sheet="1" objects="1" scenarios="1"/>
  <mergeCells count="36">
    <mergeCell ref="B53:F53"/>
    <mergeCell ref="B37:F37"/>
    <mergeCell ref="B32:F32"/>
    <mergeCell ref="B33:F33"/>
    <mergeCell ref="B42:H42"/>
    <mergeCell ref="B43:F43"/>
    <mergeCell ref="B45:F45"/>
    <mergeCell ref="B38:F38"/>
    <mergeCell ref="B39:F39"/>
    <mergeCell ref="B44:F44"/>
    <mergeCell ref="B26:F26"/>
    <mergeCell ref="B27:F27"/>
    <mergeCell ref="B61:H61"/>
    <mergeCell ref="B11:F11"/>
    <mergeCell ref="B10:H10"/>
    <mergeCell ref="B30:H30"/>
    <mergeCell ref="B31:F31"/>
    <mergeCell ref="B36:H36"/>
    <mergeCell ref="B15:F15"/>
    <mergeCell ref="B19:F19"/>
    <mergeCell ref="B20:F20"/>
    <mergeCell ref="B21:F21"/>
    <mergeCell ref="B25:F25"/>
    <mergeCell ref="B56:H56"/>
    <mergeCell ref="B51:H51"/>
    <mergeCell ref="B52:F52"/>
    <mergeCell ref="B6:F6"/>
    <mergeCell ref="B2:H3"/>
    <mergeCell ref="B24:H24"/>
    <mergeCell ref="B4:H4"/>
    <mergeCell ref="B5:F5"/>
    <mergeCell ref="B7:F7"/>
    <mergeCell ref="B12:F12"/>
    <mergeCell ref="B13:F13"/>
    <mergeCell ref="B18:H18"/>
    <mergeCell ref="B14:F1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70"/>
  <sheetViews>
    <sheetView showGridLines="0" view="pageLayout" zoomScale="87" zoomScaleNormal="100" zoomScalePageLayoutView="87" workbookViewId="0"/>
  </sheetViews>
  <sheetFormatPr defaultColWidth="9.140625" defaultRowHeight="15" x14ac:dyDescent="0.25"/>
  <cols>
    <col min="1" max="1" width="4.5703125" style="2" customWidth="1"/>
    <col min="2" max="5" width="9.140625" style="2"/>
    <col min="6" max="6" width="23.28515625" style="2" customWidth="1"/>
    <col min="7" max="7" width="14.140625" style="2" customWidth="1"/>
    <col min="8" max="8" width="3.28515625" style="2" customWidth="1"/>
    <col min="9" max="9" width="4.5703125" style="2" customWidth="1"/>
    <col min="10" max="16384" width="9.140625" style="2"/>
  </cols>
  <sheetData>
    <row r="1" spans="1:9" ht="14.25" customHeight="1" x14ac:dyDescent="0.25">
      <c r="A1" s="1"/>
      <c r="B1" s="142" t="s">
        <v>110</v>
      </c>
      <c r="C1" s="142"/>
      <c r="D1" s="142"/>
      <c r="E1" s="142"/>
      <c r="F1" s="142"/>
      <c r="G1" s="142"/>
      <c r="H1" s="142"/>
      <c r="I1" s="1"/>
    </row>
    <row r="2" spans="1:9" ht="15" customHeight="1" x14ac:dyDescent="0.25">
      <c r="A2" s="1"/>
      <c r="B2" s="142"/>
      <c r="C2" s="142"/>
      <c r="D2" s="142"/>
      <c r="E2" s="142"/>
      <c r="F2" s="142"/>
      <c r="G2" s="142"/>
      <c r="H2" s="142"/>
      <c r="I2" s="1"/>
    </row>
    <row r="3" spans="1:9" ht="15" customHeight="1" x14ac:dyDescent="0.25">
      <c r="A3" s="1"/>
      <c r="B3" s="143"/>
      <c r="C3" s="143"/>
      <c r="D3" s="143"/>
      <c r="E3" s="143"/>
      <c r="F3" s="143"/>
      <c r="G3" s="143"/>
      <c r="H3" s="143"/>
      <c r="I3" s="1"/>
    </row>
    <row r="4" spans="1:9" x14ac:dyDescent="0.25">
      <c r="A4" s="1"/>
      <c r="B4" s="124" t="s">
        <v>56</v>
      </c>
      <c r="C4" s="125"/>
      <c r="D4" s="125"/>
      <c r="E4" s="125"/>
      <c r="F4" s="125"/>
      <c r="G4" s="125"/>
      <c r="H4" s="126"/>
      <c r="I4" s="1"/>
    </row>
    <row r="5" spans="1:9" x14ac:dyDescent="0.25">
      <c r="A5" s="1"/>
      <c r="B5" s="133" t="s">
        <v>61</v>
      </c>
      <c r="C5" s="134"/>
      <c r="D5" s="134"/>
      <c r="E5" s="134"/>
      <c r="F5" s="135"/>
      <c r="G5" s="23">
        <v>41861809.542724416</v>
      </c>
      <c r="H5" s="14" t="s">
        <v>3</v>
      </c>
      <c r="I5" s="1"/>
    </row>
    <row r="6" spans="1:9" x14ac:dyDescent="0.25">
      <c r="A6" s="1"/>
      <c r="B6" s="133" t="s">
        <v>57</v>
      </c>
      <c r="C6" s="134"/>
      <c r="D6" s="134"/>
      <c r="E6" s="134"/>
      <c r="F6" s="135"/>
      <c r="G6" s="23">
        <f>G5*'Fane 15. Nøgletal'!C20</f>
        <v>380942.4668387922</v>
      </c>
      <c r="H6" s="14" t="s">
        <v>3</v>
      </c>
      <c r="I6" s="1"/>
    </row>
    <row r="7" spans="1:9" x14ac:dyDescent="0.25">
      <c r="A7" s="1"/>
      <c r="B7" s="33"/>
      <c r="C7" s="28"/>
      <c r="D7" s="28"/>
      <c r="E7" s="28"/>
      <c r="F7" s="28"/>
      <c r="G7" s="28"/>
      <c r="H7" s="19"/>
      <c r="I7" s="1"/>
    </row>
    <row r="8" spans="1:9" x14ac:dyDescent="0.25">
      <c r="A8" s="1"/>
      <c r="B8" s="1"/>
      <c r="C8" s="1"/>
      <c r="D8" s="1"/>
      <c r="E8" s="1"/>
      <c r="F8" s="1"/>
      <c r="G8" s="1"/>
      <c r="H8" s="1"/>
      <c r="I8" s="1"/>
    </row>
    <row r="9" spans="1:9" x14ac:dyDescent="0.25">
      <c r="A9" s="1"/>
      <c r="B9" s="124" t="s">
        <v>62</v>
      </c>
      <c r="C9" s="125"/>
      <c r="D9" s="125"/>
      <c r="E9" s="125"/>
      <c r="F9" s="125"/>
      <c r="G9" s="125"/>
      <c r="H9" s="126"/>
      <c r="I9" s="1"/>
    </row>
    <row r="10" spans="1:9" x14ac:dyDescent="0.25">
      <c r="A10" s="1"/>
      <c r="B10" s="133" t="s">
        <v>63</v>
      </c>
      <c r="C10" s="134"/>
      <c r="D10" s="134"/>
      <c r="E10" s="134"/>
      <c r="F10" s="135"/>
      <c r="G10" s="23">
        <f>(G5-G6)*(1+'Fane 15. Nøgletal'!C10)</f>
        <v>42206782.249713622</v>
      </c>
      <c r="H10" s="14" t="s">
        <v>3</v>
      </c>
      <c r="I10" s="1"/>
    </row>
    <row r="11" spans="1:9" x14ac:dyDescent="0.25">
      <c r="A11" s="1"/>
      <c r="B11" s="133" t="s">
        <v>122</v>
      </c>
      <c r="C11" s="134"/>
      <c r="D11" s="134"/>
      <c r="E11" s="134"/>
      <c r="F11" s="135"/>
      <c r="G11" s="72">
        <v>-160910.20617517259</v>
      </c>
      <c r="H11" s="14" t="s">
        <v>3</v>
      </c>
      <c r="I11" s="1"/>
    </row>
    <row r="12" spans="1:9" x14ac:dyDescent="0.25">
      <c r="A12" s="1"/>
      <c r="B12" s="136" t="s">
        <v>64</v>
      </c>
      <c r="C12" s="137"/>
      <c r="D12" s="137"/>
      <c r="E12" s="137"/>
      <c r="F12" s="138"/>
      <c r="G12" s="9">
        <v>0</v>
      </c>
      <c r="H12" s="14" t="s">
        <v>3</v>
      </c>
      <c r="I12" s="1"/>
    </row>
    <row r="13" spans="1:9" x14ac:dyDescent="0.25">
      <c r="A13" s="1"/>
      <c r="B13" s="133" t="s">
        <v>65</v>
      </c>
      <c r="C13" s="134"/>
      <c r="D13" s="134"/>
      <c r="E13" s="134"/>
      <c r="F13" s="135"/>
      <c r="G13" s="23">
        <f>SUM(G10:G12)*'Fane 15. Nøgletal'!C21</f>
        <v>744211.93517063058</v>
      </c>
      <c r="H13" s="14" t="s">
        <v>3</v>
      </c>
      <c r="I13" s="1"/>
    </row>
    <row r="14" spans="1:9" x14ac:dyDescent="0.25">
      <c r="A14" s="1"/>
      <c r="B14" s="33"/>
      <c r="C14" s="28"/>
      <c r="D14" s="28"/>
      <c r="E14" s="28"/>
      <c r="F14" s="28"/>
      <c r="G14" s="28"/>
      <c r="H14" s="19"/>
      <c r="I14" s="1"/>
    </row>
    <row r="15" spans="1:9" x14ac:dyDescent="0.25">
      <c r="A15" s="1"/>
      <c r="B15" s="1"/>
      <c r="C15" s="1"/>
      <c r="D15" s="1"/>
      <c r="E15" s="1"/>
      <c r="F15" s="1"/>
      <c r="G15" s="1"/>
      <c r="H15" s="1"/>
      <c r="I15" s="1"/>
    </row>
    <row r="16" spans="1:9" x14ac:dyDescent="0.25">
      <c r="A16" s="1"/>
      <c r="B16" s="124" t="s">
        <v>66</v>
      </c>
      <c r="C16" s="125"/>
      <c r="D16" s="125"/>
      <c r="E16" s="125"/>
      <c r="F16" s="125"/>
      <c r="G16" s="125"/>
      <c r="H16" s="126"/>
      <c r="I16" s="1"/>
    </row>
    <row r="17" spans="1:9" x14ac:dyDescent="0.25">
      <c r="A17" s="1"/>
      <c r="B17" s="133" t="s">
        <v>67</v>
      </c>
      <c r="C17" s="134"/>
      <c r="D17" s="134"/>
      <c r="E17" s="134"/>
      <c r="F17" s="135"/>
      <c r="G17" s="23">
        <f>(SUM(G10:G12)-G13)*(1+'Fane 15. Nøgletal'!C10)</f>
        <v>42024439.160264261</v>
      </c>
      <c r="H17" s="14" t="s">
        <v>3</v>
      </c>
      <c r="I17" s="1"/>
    </row>
    <row r="18" spans="1:9" x14ac:dyDescent="0.25">
      <c r="A18" s="1"/>
      <c r="B18" s="136" t="s">
        <v>68</v>
      </c>
      <c r="C18" s="137"/>
      <c r="D18" s="137"/>
      <c r="E18" s="137"/>
      <c r="F18" s="138"/>
      <c r="G18" s="9">
        <v>0</v>
      </c>
      <c r="H18" s="14" t="s">
        <v>3</v>
      </c>
      <c r="I18" s="1"/>
    </row>
    <row r="19" spans="1:9" x14ac:dyDescent="0.25">
      <c r="A19" s="1"/>
      <c r="B19" s="133" t="s">
        <v>69</v>
      </c>
      <c r="C19" s="134"/>
      <c r="D19" s="134"/>
      <c r="E19" s="134"/>
      <c r="F19" s="135"/>
      <c r="G19" s="23">
        <f>G17*'Fane 15. Nøgletal'!C21+G18*'Fane 15. Nøgletal'!C22</f>
        <v>743832.57313667738</v>
      </c>
      <c r="H19" s="14" t="s">
        <v>3</v>
      </c>
      <c r="I19" s="1"/>
    </row>
    <row r="20" spans="1:9" x14ac:dyDescent="0.25">
      <c r="A20" s="1"/>
      <c r="B20" s="33"/>
      <c r="C20" s="28"/>
      <c r="D20" s="28"/>
      <c r="E20" s="28"/>
      <c r="F20" s="28"/>
      <c r="G20" s="28"/>
      <c r="H20" s="19"/>
      <c r="I20" s="1"/>
    </row>
    <row r="21" spans="1:9" x14ac:dyDescent="0.25">
      <c r="A21" s="1"/>
      <c r="B21" s="1"/>
      <c r="C21" s="1"/>
      <c r="D21" s="1"/>
      <c r="E21" s="1"/>
      <c r="F21" s="1"/>
      <c r="G21" s="1"/>
      <c r="H21" s="1"/>
      <c r="I21" s="1"/>
    </row>
    <row r="22" spans="1:9" x14ac:dyDescent="0.25">
      <c r="A22" s="1"/>
      <c r="B22" s="124" t="s">
        <v>70</v>
      </c>
      <c r="C22" s="125"/>
      <c r="D22" s="125"/>
      <c r="E22" s="125"/>
      <c r="F22" s="125"/>
      <c r="G22" s="125"/>
      <c r="H22" s="126"/>
      <c r="I22" s="1"/>
    </row>
    <row r="23" spans="1:9" x14ac:dyDescent="0.25">
      <c r="A23" s="1"/>
      <c r="B23" s="133" t="s">
        <v>71</v>
      </c>
      <c r="C23" s="134"/>
      <c r="D23" s="134"/>
      <c r="E23" s="134"/>
      <c r="F23" s="135"/>
      <c r="G23" s="23">
        <f>(G17+G18-G19)*(1+'Fane 15. Nøgletal'!C12)</f>
        <v>42093834.536893994</v>
      </c>
      <c r="H23" s="14" t="s">
        <v>3</v>
      </c>
      <c r="I23" s="1"/>
    </row>
    <row r="24" spans="1:9" x14ac:dyDescent="0.25">
      <c r="A24" s="1"/>
      <c r="B24" s="136" t="s">
        <v>72</v>
      </c>
      <c r="C24" s="137"/>
      <c r="D24" s="137"/>
      <c r="E24" s="137"/>
      <c r="F24" s="138"/>
      <c r="G24" s="23">
        <v>171405.48976547041</v>
      </c>
      <c r="H24" s="14" t="s">
        <v>3</v>
      </c>
      <c r="I24" s="1"/>
    </row>
    <row r="25" spans="1:9" x14ac:dyDescent="0.25">
      <c r="A25" s="1"/>
      <c r="B25" s="133" t="s">
        <v>73</v>
      </c>
      <c r="C25" s="134"/>
      <c r="D25" s="134"/>
      <c r="E25" s="134"/>
      <c r="F25" s="135"/>
      <c r="G25" s="23">
        <f>(G23+G24)*'Fane 15. Nøgletal'!C23</f>
        <v>1200332.8167571288</v>
      </c>
      <c r="H25" s="14" t="s">
        <v>3</v>
      </c>
      <c r="I25" s="1"/>
    </row>
    <row r="26" spans="1:9" x14ac:dyDescent="0.25">
      <c r="A26" s="1"/>
      <c r="B26" s="33"/>
      <c r="C26" s="28"/>
      <c r="D26" s="28"/>
      <c r="E26" s="28"/>
      <c r="F26" s="28"/>
      <c r="G26" s="28"/>
      <c r="H26" s="19"/>
      <c r="I26" s="1"/>
    </row>
    <row r="27" spans="1:9" x14ac:dyDescent="0.25">
      <c r="A27" s="1"/>
      <c r="B27" s="1"/>
      <c r="C27" s="1"/>
      <c r="D27" s="1"/>
      <c r="E27" s="1"/>
      <c r="F27" s="1"/>
      <c r="G27" s="1"/>
      <c r="H27" s="1"/>
      <c r="I27" s="1"/>
    </row>
    <row r="28" spans="1:9" x14ac:dyDescent="0.25">
      <c r="A28" s="1"/>
      <c r="B28" s="124" t="s">
        <v>74</v>
      </c>
      <c r="C28" s="125"/>
      <c r="D28" s="125"/>
      <c r="E28" s="125"/>
      <c r="F28" s="125"/>
      <c r="G28" s="125"/>
      <c r="H28" s="126"/>
      <c r="I28" s="1"/>
    </row>
    <row r="29" spans="1:9" x14ac:dyDescent="0.25">
      <c r="A29" s="1"/>
      <c r="B29" s="133" t="s">
        <v>75</v>
      </c>
      <c r="C29" s="134"/>
      <c r="D29" s="134"/>
      <c r="E29" s="134"/>
      <c r="F29" s="135"/>
      <c r="G29" s="23">
        <f>(G23+G24-G25)*(1+'Fane 15. Nøgletal'!C12)</f>
        <v>41873885.881937414</v>
      </c>
      <c r="H29" s="14" t="s">
        <v>3</v>
      </c>
      <c r="I29" s="1"/>
    </row>
    <row r="30" spans="1:9" x14ac:dyDescent="0.25">
      <c r="A30" s="1"/>
      <c r="B30" s="133" t="s">
        <v>139</v>
      </c>
      <c r="C30" s="134"/>
      <c r="D30" s="134"/>
      <c r="E30" s="134"/>
      <c r="F30" s="135"/>
      <c r="G30" s="23">
        <v>158300.99217072001</v>
      </c>
      <c r="H30" s="14" t="s">
        <v>3</v>
      </c>
      <c r="I30" s="1"/>
    </row>
    <row r="31" spans="1:9" x14ac:dyDescent="0.25">
      <c r="A31" s="1"/>
      <c r="B31" s="133" t="s">
        <v>76</v>
      </c>
      <c r="C31" s="134"/>
      <c r="D31" s="134"/>
      <c r="E31" s="134"/>
      <c r="F31" s="135"/>
      <c r="G31" s="23">
        <f>G29*'Fane 15. Nøgletal'!C23+G30*'Fane 15. Nøgletal'!C24</f>
        <v>1193571.6363317175</v>
      </c>
      <c r="H31" s="14" t="s">
        <v>3</v>
      </c>
      <c r="I31" s="1"/>
    </row>
    <row r="32" spans="1:9" x14ac:dyDescent="0.25">
      <c r="A32" s="1"/>
      <c r="B32" s="33"/>
      <c r="C32" s="28"/>
      <c r="D32" s="28"/>
      <c r="E32" s="28"/>
      <c r="F32" s="28"/>
      <c r="G32" s="28"/>
      <c r="H32" s="19"/>
      <c r="I32" s="1"/>
    </row>
    <row r="33" spans="1:9" x14ac:dyDescent="0.25">
      <c r="A33" s="1"/>
      <c r="B33" s="1"/>
      <c r="C33" s="1"/>
      <c r="D33" s="1"/>
      <c r="E33" s="1"/>
      <c r="F33" s="1"/>
      <c r="G33" s="1"/>
      <c r="H33" s="1"/>
      <c r="I33" s="1"/>
    </row>
    <row r="34" spans="1:9" x14ac:dyDescent="0.25">
      <c r="A34" s="1"/>
      <c r="B34" s="124" t="s">
        <v>165</v>
      </c>
      <c r="C34" s="125"/>
      <c r="D34" s="125"/>
      <c r="E34" s="125"/>
      <c r="F34" s="125"/>
      <c r="G34" s="125"/>
      <c r="H34" s="126"/>
      <c r="I34" s="1"/>
    </row>
    <row r="35" spans="1:9" x14ac:dyDescent="0.25">
      <c r="A35" s="1"/>
      <c r="B35" s="133" t="s">
        <v>78</v>
      </c>
      <c r="C35" s="134"/>
      <c r="D35" s="134"/>
      <c r="E35" s="134"/>
      <c r="F35" s="135"/>
      <c r="G35" s="23">
        <f>(G29+G30-G31)*(1+'Fane 15. Nøgletal'!C14)</f>
        <v>40973382.668061085</v>
      </c>
      <c r="H35" s="14" t="s">
        <v>3</v>
      </c>
      <c r="I35" s="1"/>
    </row>
    <row r="36" spans="1:9" x14ac:dyDescent="0.25">
      <c r="A36" s="1"/>
      <c r="B36" s="133" t="s">
        <v>167</v>
      </c>
      <c r="C36" s="134"/>
      <c r="D36" s="134"/>
      <c r="E36" s="134"/>
      <c r="F36" s="135"/>
      <c r="G36" s="9">
        <v>0</v>
      </c>
      <c r="H36" s="14" t="s">
        <v>3</v>
      </c>
      <c r="I36" s="1"/>
    </row>
    <row r="37" spans="1:9" x14ac:dyDescent="0.25">
      <c r="A37" s="1"/>
      <c r="B37" s="133" t="s">
        <v>166</v>
      </c>
      <c r="C37" s="134"/>
      <c r="D37" s="134"/>
      <c r="E37" s="134"/>
      <c r="F37" s="135"/>
      <c r="G37" s="23">
        <f>(G35+G36)*'Fane 15. Nøgletal'!C25</f>
        <v>606406.06348730414</v>
      </c>
      <c r="H37" s="14" t="s">
        <v>3</v>
      </c>
      <c r="I37" s="1"/>
    </row>
    <row r="38" spans="1:9" x14ac:dyDescent="0.25">
      <c r="A38" s="1"/>
      <c r="B38" s="33"/>
      <c r="C38" s="28"/>
      <c r="D38" s="28"/>
      <c r="E38" s="28"/>
      <c r="F38" s="28"/>
      <c r="G38" s="28"/>
      <c r="H38" s="19"/>
      <c r="I38" s="1"/>
    </row>
    <row r="39" spans="1:9" x14ac:dyDescent="0.25">
      <c r="A39" s="1"/>
      <c r="B39" s="1"/>
      <c r="C39" s="1"/>
      <c r="D39" s="1"/>
      <c r="E39" s="1"/>
      <c r="F39" s="1"/>
      <c r="G39" s="1"/>
      <c r="H39" s="1"/>
      <c r="I39" s="1"/>
    </row>
    <row r="40" spans="1:9" x14ac:dyDescent="0.25">
      <c r="A40" s="1"/>
      <c r="B40" s="124" t="s">
        <v>223</v>
      </c>
      <c r="C40" s="125"/>
      <c r="D40" s="125"/>
      <c r="E40" s="125"/>
      <c r="F40" s="125"/>
      <c r="G40" s="125"/>
      <c r="H40" s="126"/>
      <c r="I40" s="1"/>
    </row>
    <row r="41" spans="1:9" x14ac:dyDescent="0.25">
      <c r="A41" s="1"/>
      <c r="B41" s="133" t="s">
        <v>77</v>
      </c>
      <c r="C41" s="134"/>
      <c r="D41" s="134"/>
      <c r="E41" s="134"/>
      <c r="F41" s="135"/>
      <c r="G41" s="23">
        <f>(G35+G36-G37)*(1+'Fane 15. Nøgletal'!C14)</f>
        <v>40500187.627368875</v>
      </c>
      <c r="H41" s="14" t="s">
        <v>3</v>
      </c>
      <c r="I41" s="1"/>
    </row>
    <row r="42" spans="1:9" x14ac:dyDescent="0.25">
      <c r="A42" s="1"/>
      <c r="B42" s="44" t="s">
        <v>231</v>
      </c>
      <c r="C42" s="89"/>
      <c r="D42" s="89"/>
      <c r="E42" s="89"/>
      <c r="F42" s="90"/>
      <c r="G42" s="9">
        <f>('Fane 2.1. Økonomisk ramme 2023'!C11+'Fane 2.1. Økonomisk ramme 2023'!C13+'Fane 2.1. Økonomisk ramme 2023'!C15)*(1+'Fane 15. Nøgletal'!C15)</f>
        <v>0</v>
      </c>
      <c r="H42" s="14" t="s">
        <v>3</v>
      </c>
      <c r="I42" s="1"/>
    </row>
    <row r="43" spans="1:9" x14ac:dyDescent="0.25">
      <c r="A43" s="1"/>
      <c r="B43" s="133" t="s">
        <v>168</v>
      </c>
      <c r="C43" s="134"/>
      <c r="D43" s="134"/>
      <c r="E43" s="134"/>
      <c r="F43" s="135"/>
      <c r="G43" s="23">
        <f>(G41)*'Fane 15. Nøgletal'!C25+G42*'Fane 15. Nøgletal'!C26</f>
        <v>599402.77688505943</v>
      </c>
      <c r="H43" s="14" t="s">
        <v>3</v>
      </c>
      <c r="I43" s="1"/>
    </row>
    <row r="44" spans="1:9" x14ac:dyDescent="0.25">
      <c r="A44" s="1"/>
      <c r="B44" s="33"/>
      <c r="C44" s="28"/>
      <c r="D44" s="28"/>
      <c r="E44" s="28"/>
      <c r="F44" s="28"/>
      <c r="G44" s="28"/>
      <c r="H44" s="19"/>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
      <c r="C51" s="1"/>
      <c r="D51" s="1"/>
      <c r="E51" s="1"/>
      <c r="F51" s="1"/>
      <c r="G51" s="1"/>
      <c r="H51" s="1"/>
      <c r="I51" s="1"/>
    </row>
    <row r="52" spans="1:9" x14ac:dyDescent="0.25">
      <c r="A52" s="1"/>
      <c r="B52" s="124" t="s">
        <v>244</v>
      </c>
      <c r="C52" s="125"/>
      <c r="D52" s="125"/>
      <c r="E52" s="125"/>
      <c r="F52" s="125"/>
      <c r="G52" s="125"/>
      <c r="H52" s="126"/>
      <c r="I52" s="1"/>
    </row>
    <row r="53" spans="1:9" x14ac:dyDescent="0.25">
      <c r="A53" s="1"/>
      <c r="B53" s="133" t="s">
        <v>140</v>
      </c>
      <c r="C53" s="134"/>
      <c r="D53" s="134"/>
      <c r="E53" s="134"/>
      <c r="F53" s="135"/>
      <c r="G53" s="23">
        <f>(G41+G42-G43)*(1+'Fane 15. Nøgletal'!C15)</f>
        <v>41321252.791161038</v>
      </c>
      <c r="H53" s="14" t="s">
        <v>3</v>
      </c>
      <c r="I53" s="1"/>
    </row>
    <row r="54" spans="1:9" x14ac:dyDescent="0.25">
      <c r="A54" s="1"/>
      <c r="B54" s="133" t="s">
        <v>141</v>
      </c>
      <c r="C54" s="134"/>
      <c r="D54" s="134"/>
      <c r="E54" s="134"/>
      <c r="F54" s="135"/>
      <c r="G54" s="23">
        <f>(G53)*'Fane 15. Nøgletal'!C26</f>
        <v>0</v>
      </c>
      <c r="H54" s="14" t="s">
        <v>3</v>
      </c>
      <c r="I54" s="1"/>
    </row>
    <row r="55" spans="1:9" x14ac:dyDescent="0.25">
      <c r="A55" s="1"/>
      <c r="B55" s="33"/>
      <c r="C55" s="28"/>
      <c r="D55" s="28"/>
      <c r="E55" s="28"/>
      <c r="F55" s="28"/>
      <c r="G55" s="28"/>
      <c r="H55" s="19"/>
      <c r="I55" s="1"/>
    </row>
    <row r="56" spans="1:9" x14ac:dyDescent="0.25">
      <c r="A56" s="1"/>
      <c r="B56" s="1"/>
      <c r="C56" s="1"/>
      <c r="D56" s="1"/>
      <c r="E56" s="1"/>
      <c r="F56" s="1"/>
      <c r="G56" s="1"/>
      <c r="H56" s="1"/>
      <c r="I56" s="1"/>
    </row>
    <row r="57" spans="1:9" x14ac:dyDescent="0.25">
      <c r="A57" s="1"/>
      <c r="B57" s="124" t="s">
        <v>153</v>
      </c>
      <c r="C57" s="125"/>
      <c r="D57" s="125"/>
      <c r="E57" s="125"/>
      <c r="F57" s="125"/>
      <c r="G57" s="125"/>
      <c r="H57" s="126"/>
      <c r="I57" s="1"/>
    </row>
    <row r="58" spans="1:9" x14ac:dyDescent="0.25">
      <c r="A58" s="1"/>
      <c r="B58" s="133" t="s">
        <v>173</v>
      </c>
      <c r="C58" s="134"/>
      <c r="D58" s="134"/>
      <c r="E58" s="134"/>
      <c r="F58" s="135"/>
      <c r="G58" s="23">
        <f>(G53-G54)*(1+'Fane 15. Nøgletal'!C15)</f>
        <v>42792289.390526377</v>
      </c>
      <c r="H58" s="14" t="s">
        <v>3</v>
      </c>
      <c r="I58" s="1"/>
    </row>
    <row r="59" spans="1:9" x14ac:dyDescent="0.25">
      <c r="A59" s="1"/>
      <c r="B59" s="133" t="s">
        <v>174</v>
      </c>
      <c r="C59" s="134"/>
      <c r="D59" s="134"/>
      <c r="E59" s="134"/>
      <c r="F59" s="135"/>
      <c r="G59" s="23">
        <f>(G58)*'Fane 15. Nøgletal'!C26</f>
        <v>0</v>
      </c>
      <c r="H59" s="14" t="s">
        <v>3</v>
      </c>
      <c r="I59" s="1"/>
    </row>
    <row r="60" spans="1:9" x14ac:dyDescent="0.25">
      <c r="A60" s="1"/>
      <c r="B60" s="33"/>
      <c r="C60" s="28"/>
      <c r="D60" s="28"/>
      <c r="E60" s="28"/>
      <c r="F60" s="28"/>
      <c r="G60" s="28"/>
      <c r="H60" s="19"/>
      <c r="I60" s="1"/>
    </row>
    <row r="61" spans="1:9" x14ac:dyDescent="0.25">
      <c r="A61" s="1"/>
      <c r="B61" s="1"/>
      <c r="C61" s="1"/>
      <c r="D61" s="1"/>
      <c r="E61" s="1"/>
      <c r="F61" s="1"/>
      <c r="G61" s="1"/>
      <c r="H61" s="1"/>
      <c r="I61" s="1"/>
    </row>
    <row r="62" spans="1:9" x14ac:dyDescent="0.25">
      <c r="A62" s="1"/>
      <c r="B62" s="124" t="s">
        <v>197</v>
      </c>
      <c r="C62" s="125"/>
      <c r="D62" s="125"/>
      <c r="E62" s="125"/>
      <c r="F62" s="125"/>
      <c r="G62" s="125"/>
      <c r="H62" s="126"/>
      <c r="I62" s="1"/>
    </row>
    <row r="63" spans="1:9" x14ac:dyDescent="0.25">
      <c r="A63" s="1"/>
      <c r="B63" s="133" t="s">
        <v>198</v>
      </c>
      <c r="C63" s="134"/>
      <c r="D63" s="134"/>
      <c r="E63" s="134"/>
      <c r="F63" s="135"/>
      <c r="G63" s="23">
        <f>(G58-G59)*(1+'Fane 15. Nøgletal'!C15)</f>
        <v>44315694.89282912</v>
      </c>
      <c r="H63" s="14" t="s">
        <v>3</v>
      </c>
      <c r="I63" s="1"/>
    </row>
    <row r="64" spans="1:9" x14ac:dyDescent="0.25">
      <c r="A64" s="1"/>
      <c r="B64" s="133" t="s">
        <v>199</v>
      </c>
      <c r="C64" s="134"/>
      <c r="D64" s="134"/>
      <c r="E64" s="134"/>
      <c r="F64" s="135"/>
      <c r="G64" s="23">
        <f>(G63)*'Fane 15. Nøgletal'!C26</f>
        <v>0</v>
      </c>
      <c r="H64" s="14" t="s">
        <v>3</v>
      </c>
      <c r="I64" s="1"/>
    </row>
    <row r="65" spans="1:9" x14ac:dyDescent="0.25">
      <c r="A65" s="1"/>
      <c r="B65" s="33"/>
      <c r="C65" s="28"/>
      <c r="D65" s="28"/>
      <c r="E65" s="28"/>
      <c r="F65" s="28"/>
      <c r="G65" s="28"/>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sheetData>
  <sheetProtection algorithmName="SHA-512" hashValue="vhMJ5fjyopsSLrTCA6ZSFhAjctCBNeccve8n8i53qFAtImFVHj/oCYEZwMTLUGJfw9gEELW1Rvd6zYlTKntIRw==" saltValue="oVA4ACWmh3fqlXHUQYuMIg==" spinCount="100000" sheet="1" objects="1" scenarios="1"/>
  <mergeCells count="37">
    <mergeCell ref="B57:H57"/>
    <mergeCell ref="B58:F58"/>
    <mergeCell ref="B59:F59"/>
    <mergeCell ref="B41:F41"/>
    <mergeCell ref="B37:F37"/>
    <mergeCell ref="B40:H40"/>
    <mergeCell ref="B18:F18"/>
    <mergeCell ref="B30:F30"/>
    <mergeCell ref="B22:H22"/>
    <mergeCell ref="B28:H28"/>
    <mergeCell ref="B29:F29"/>
    <mergeCell ref="B31:F31"/>
    <mergeCell ref="B34:H34"/>
    <mergeCell ref="B36:F36"/>
    <mergeCell ref="B24:F24"/>
    <mergeCell ref="B25:F25"/>
    <mergeCell ref="B10:F10"/>
    <mergeCell ref="B12:F12"/>
    <mergeCell ref="B13:F13"/>
    <mergeCell ref="B16:H16"/>
    <mergeCell ref="B17:F17"/>
    <mergeCell ref="B62:H62"/>
    <mergeCell ref="B63:F63"/>
    <mergeCell ref="B64:F64"/>
    <mergeCell ref="B1:H3"/>
    <mergeCell ref="B52:H52"/>
    <mergeCell ref="B53:F53"/>
    <mergeCell ref="B54:F54"/>
    <mergeCell ref="B35:F35"/>
    <mergeCell ref="B43:F43"/>
    <mergeCell ref="B19:F19"/>
    <mergeCell ref="B4:H4"/>
    <mergeCell ref="B5:F5"/>
    <mergeCell ref="B6:F6"/>
    <mergeCell ref="B9:H9"/>
    <mergeCell ref="B11:F11"/>
    <mergeCell ref="B23:F2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H45"/>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6" t="s">
        <v>88</v>
      </c>
      <c r="C3" s="116"/>
      <c r="D3" s="116"/>
      <c r="E3" s="116"/>
      <c r="F3" s="116"/>
      <c r="G3" s="116"/>
      <c r="H3" s="1"/>
    </row>
    <row r="4" spans="1:8" ht="15" customHeight="1" x14ac:dyDescent="0.25">
      <c r="A4" s="1"/>
      <c r="B4" s="116"/>
      <c r="C4" s="116"/>
      <c r="D4" s="116"/>
      <c r="E4" s="116"/>
      <c r="F4" s="116"/>
      <c r="G4" s="116"/>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24" t="s">
        <v>10</v>
      </c>
      <c r="C8" s="125"/>
      <c r="D8" s="125"/>
      <c r="E8" s="125"/>
      <c r="F8" s="125"/>
      <c r="G8" s="125"/>
      <c r="H8" s="1"/>
    </row>
    <row r="9" spans="1:8" x14ac:dyDescent="0.25">
      <c r="A9" s="1"/>
      <c r="B9" s="133" t="s">
        <v>154</v>
      </c>
      <c r="C9" s="134"/>
      <c r="D9" s="134"/>
      <c r="E9" s="134"/>
      <c r="F9" s="135"/>
      <c r="G9" s="36">
        <v>1.8376906372973042E-3</v>
      </c>
      <c r="H9" s="1"/>
    </row>
    <row r="10" spans="1:8" x14ac:dyDescent="0.25">
      <c r="A10" s="1"/>
      <c r="B10" s="33"/>
      <c r="C10" s="28"/>
      <c r="D10" s="28"/>
      <c r="E10" s="28"/>
      <c r="F10" s="28"/>
      <c r="G10" s="28"/>
      <c r="H10" s="1"/>
    </row>
    <row r="11" spans="1:8" ht="29.25" customHeight="1" x14ac:dyDescent="0.25">
      <c r="A11" s="1"/>
      <c r="B11" s="144" t="s">
        <v>238</v>
      </c>
      <c r="C11" s="145"/>
      <c r="D11" s="145"/>
      <c r="E11" s="145"/>
      <c r="F11" s="145"/>
      <c r="G11" s="145"/>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sheetData>
  <sheetProtection algorithmName="SHA-512" hashValue="QJDMfDvvIeFZHH9JJCsXU7IOBiANbJzAQ2LmuDZarb9gRYSNQtoEhfgH4rkO+beJijF6x0t9e3yqiHI858EXvg==" saltValue="hiDrVKHpNb6V1YCTbbEQ4g=="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20</vt:i4>
      </vt:variant>
    </vt:vector>
  </HeadingPairs>
  <TitlesOfParts>
    <vt:vector size="20"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Korrektion af ØR2021</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2022-12-01T08:20:34Z</dcterms:modified>
</cp:coreProperties>
</file>