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Vordingborg Vand AS (V212)\ØR2024\"/>
    </mc:Choice>
  </mc:AlternateContent>
  <xr:revisionPtr revIDLastSave="0" documentId="13_ncr:1_{5EF1B91B-197C-47EF-B755-6755FB430018}"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27" i="41" l="1"/>
  <c r="E31" i="41"/>
  <c r="E33" i="41"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<sst xmlns="http://schemas.openxmlformats.org/spreadsheetml/2006/main" count="550" uniqueCount="262">
  <si>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</si>
  <si>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</si>
  <si>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</si>
  <si>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</si>
  <si>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</si>
  <si>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</si>
  <si>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</si>
  <si>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</si>
  <si>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</si>
  <si>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</si>
  <si>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</si>
  <si>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</si>
  <si>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</si>
  <si>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</si>
  <si>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</si>
  <si>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</si>
  <si>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</si>
  <si>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</si>
  <si>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</si>
  <si>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</si>
  <si>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</si>
  <si>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</si>
  <si>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</si>
  <si>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</si>
  <si>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</si>
  <si>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</si>
  <si>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</si>
  <si>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</si>
  <si>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</si>
  <si>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</si>
  <si>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</si>
  <si>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</si>
  <si>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</si>
  <si>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</si>
  <si>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</si>
  <si>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</si>
  <si>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</si>
  <si>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</si>
  <si>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</si>
  <si>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</si>
  <si>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</si>
  <si>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</si>
  <si>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</si>
  <si>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</si>
  <si>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</si>
  <si>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</si>
  <si>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</si>
  <si>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</si>
  <si>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</si>
  <si>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</si>
  <si>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</si>
  <si>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</si>
  <si>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</si>
  <si>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</si>
  <si>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</si>
  <si>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</si>
  <si>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</si>
  <si>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</si>
  <si>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</si>
  <si>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</si>
  <si>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</si>
  <si>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</si>
  <si>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</si>
  <si>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</si>
  <si>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</si>
  <si>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</si>
  <si>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</si>
  <si>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</si>
  <si>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</si>
  <si>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</si>
  <si>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</si>
  <si>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</si>
  <si>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</si>
  <si>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</si>
  <si>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</si>
  <si>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</si>
  <si>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</si>
  <si>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</si>
  <si>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</si>
  <si>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</si>
  <si>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</si>
  <si>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</si>
  <si>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</si>
  <si>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</si>
  <si>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</si>
  <si>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</si>
  <si>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</si>
  <si>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</si>
  <si>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</si>
  <si>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</si>
  <si>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</si>
  <si>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</si>
  <si>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</si>
  <si>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</si>
  <si>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</si>
  <si>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</si>
  <si>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</si>
  <si>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</si>
  <si>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</si>
  <si>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</si>
  <si>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</si>
  <si>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</si>
  <si>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</si>
  <si>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</si>
  <si>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</si>
  <si>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</si>
  <si>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</si>
  <si>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</si>
  <si>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</si>
  <si>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</si>
  <si>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</si>
  <si>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</si>
  <si>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</si>
  <si>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</si>
  <si>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</si>
  <si>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</si>
  <si>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</si>
  <si>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</si>
  <si>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</si>
  <si>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</si>
  <si>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</si>
  <si>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</si>
  <si>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</si>
  <si>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</si>
  <si>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</si>
  <si>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</si>
  <si>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</si>
  <si>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</si>
  <si>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</si>
  <si>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</si>
  <si>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</si>
  <si>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</si>
  <si>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</si>
  <si>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</si>
  <si>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</si>
  <si>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</si>
  <si>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</si>
  <si>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</si>
  <si>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</si>
  <si>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</si>
  <si>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</si>
  <si>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</si>
  <si>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</si>
  <si>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</si>
  <si>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</si>
  <si>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</si>
  <si>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</si>
  <si>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</si>
  <si>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</si>
  <si>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</si>
  <si>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</si>
  <si>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</si>
  <si>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</si>
  <si>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</si>
  <si>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</si>
  <si>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</si>
  <si>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</si>
  <si>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</si>
  <si>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</si>
  <si>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</si>
  <si>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</si>
  <si>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</si>
  <si>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</si>
  <si>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</si>
  <si>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</si>
  <si>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</si>
  <si>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</si>
  <si>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</si>
  <si>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</si>
  <si>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</si>
  <si>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</si>
  <si>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</si>
  <si>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</si>
  <si>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</si>
  <si>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</si>
  <si>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</si>
  <si>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</si>
  <si>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</si>
  <si>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</si>
  <si>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</si>
  <si>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</si>
  <si>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</si>
  <si>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</si>
  <si>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</si>
  <si>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</si>
  <si>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</si>
  <si>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</si>
  <si>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</si>
  <si>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</si>
  <si>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</si>
  <si>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</si>
  <si>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</si>
  <si>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</si>
  <si>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</si>
  <si>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</si>
  <si>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</si>
  <si>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</si>
  <si>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</si>
  <si>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</si>
  <si>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</si>
  <si>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</si>
  <si>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</si>
  <si>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</si>
  <si>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</si>
  <si>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</si>
  <si>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</si>
  <si>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</si>
  <si>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</si>
  <si>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</si>
  <si>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</si>
  <si>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</si>
  <si>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</si>
  <si>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</si>
  <si>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</si>
  <si>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</si>
  <si>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</si>
  <si>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</si>
  <si>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</si>
  <si>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</si>
  <si>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</si>
  <si>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</si>
  <si>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</si>
  <si>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</si>
  <si>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</si>
  <si>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</si>
  <si>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</si>
  <si>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</si>
  <si>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</si>
  <si>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</si>
  <si>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</si>
  <si>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</si>
  <si>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</si>
  <si>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</si>
  <si>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</si>
  <si>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</si>
  <si>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</si>
  <si>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</si>
  <si>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</si>
  <si>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</si>
  <si>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</si>
  <si>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</si>
  <si>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</si>
  <si>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</si>
  <si>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Ingen engangstillæg</t>
  </si>
  <si>
    <t>Periodevise driftsomkostninger</t>
  </si>
  <si>
    <t>Afgift for ledningsført vand</t>
  </si>
  <si>
    <t>Afgift til Forsyningssekretariatet</t>
  </si>
  <si>
    <t>Ejendomsskat</t>
  </si>
  <si>
    <t>Vandsamarbejde etableret i medfør af § 52b i vandforsyningsloven</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</si>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</sst>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sheetData sheetId="5"/>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9" t="s">
        <v>4</v>
      </c>
      <c r="E6" s="79"/>
      <c r="F6" s="79"/>
      <c r="G6" s="79"/>
      <c r="H6" s="3"/>
      <c r="I6" s="1"/>
    </row>
    <row r="7" spans="1:9" ht="15" customHeight="1" x14ac:dyDescent="0.35">
      <c r="A7" s="1"/>
      <c r="B7" s="1"/>
      <c r="C7" s="3"/>
      <c r="D7" s="79"/>
      <c r="E7" s="79"/>
      <c r="F7" s="79"/>
      <c r="G7" s="79"/>
      <c r="H7" s="3"/>
      <c r="I7" s="1"/>
    </row>
    <row r="8" spans="1:9" ht="15.5" x14ac:dyDescent="0.35">
      <c r="A8" s="1"/>
      <c r="B8" s="1"/>
      <c r="C8" s="4"/>
      <c r="D8" s="84" t="s">
        <v>235</v>
      </c>
      <c r="E8" s="84"/>
      <c r="F8" s="84"/>
      <c r="G8" s="84"/>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3" t="s">
        <v>5</v>
      </c>
      <c r="E11" s="83"/>
      <c r="F11" s="83"/>
      <c r="G11" s="83"/>
      <c r="H11" s="5"/>
      <c r="I11" s="1"/>
    </row>
    <row r="12" spans="1:9" x14ac:dyDescent="0.35">
      <c r="A12" s="1"/>
      <c r="B12" s="1"/>
      <c r="C12" s="1"/>
      <c r="D12" s="1"/>
      <c r="E12" s="1"/>
      <c r="F12" s="1"/>
      <c r="G12" s="1"/>
      <c r="H12" s="1"/>
      <c r="I12" s="1"/>
    </row>
    <row r="13" spans="1:9" x14ac:dyDescent="0.35">
      <c r="A13" s="1"/>
      <c r="B13" s="1"/>
      <c r="C13" s="6" t="s">
        <v>6</v>
      </c>
      <c r="D13" s="76" t="s">
        <v>162</v>
      </c>
      <c r="E13" s="77"/>
      <c r="F13" s="77"/>
      <c r="G13" s="78"/>
      <c r="H13" s="1"/>
      <c r="I13" s="1"/>
    </row>
    <row r="14" spans="1:9" x14ac:dyDescent="0.35">
      <c r="A14" s="1"/>
      <c r="B14" s="1"/>
      <c r="C14" s="6" t="s">
        <v>14</v>
      </c>
      <c r="D14" s="76" t="s">
        <v>197</v>
      </c>
      <c r="E14" s="77"/>
      <c r="F14" s="77"/>
      <c r="G14" s="78"/>
      <c r="H14" s="1"/>
      <c r="I14" s="1"/>
    </row>
    <row r="15" spans="1:9" x14ac:dyDescent="0.35">
      <c r="A15" s="1"/>
      <c r="B15" s="1"/>
      <c r="C15" s="6" t="s">
        <v>30</v>
      </c>
      <c r="D15" s="76" t="s">
        <v>141</v>
      </c>
      <c r="E15" s="77"/>
      <c r="F15" s="77"/>
      <c r="G15" s="78"/>
      <c r="H15" s="1"/>
      <c r="I15" s="1"/>
    </row>
    <row r="16" spans="1:9" x14ac:dyDescent="0.35">
      <c r="A16" s="1"/>
      <c r="B16" s="1"/>
      <c r="C16" s="6" t="s">
        <v>31</v>
      </c>
      <c r="D16" s="76" t="s">
        <v>194</v>
      </c>
      <c r="E16" s="77"/>
      <c r="F16" s="77"/>
      <c r="G16" s="78"/>
      <c r="H16" s="1"/>
      <c r="I16" s="1"/>
    </row>
    <row r="17" spans="1:9" x14ac:dyDescent="0.35">
      <c r="A17" s="1"/>
      <c r="B17" s="1"/>
      <c r="C17" s="6" t="s">
        <v>102</v>
      </c>
      <c r="D17" s="76" t="s">
        <v>195</v>
      </c>
      <c r="E17" s="77"/>
      <c r="F17" s="77"/>
      <c r="G17" s="78"/>
      <c r="H17" s="1"/>
      <c r="I17" s="1"/>
    </row>
    <row r="18" spans="1:9" x14ac:dyDescent="0.35">
      <c r="A18" s="1"/>
      <c r="B18" s="1"/>
      <c r="C18" s="6" t="s">
        <v>86</v>
      </c>
      <c r="D18" s="85" t="s">
        <v>79</v>
      </c>
      <c r="E18" s="86"/>
      <c r="F18" s="86"/>
      <c r="G18" s="87"/>
      <c r="H18" s="1"/>
      <c r="I18" s="1"/>
    </row>
    <row r="19" spans="1:9" x14ac:dyDescent="0.35">
      <c r="A19" s="1"/>
      <c r="B19" s="1"/>
      <c r="C19" s="6" t="s">
        <v>87</v>
      </c>
      <c r="D19" s="85" t="s">
        <v>80</v>
      </c>
      <c r="E19" s="86"/>
      <c r="F19" s="86"/>
      <c r="G19" s="87"/>
      <c r="H19" s="1"/>
      <c r="I19" s="1"/>
    </row>
    <row r="20" spans="1:9" x14ac:dyDescent="0.35">
      <c r="A20" s="1"/>
      <c r="B20" s="1"/>
      <c r="C20" s="6" t="s">
        <v>7</v>
      </c>
      <c r="D20" s="85" t="s">
        <v>9</v>
      </c>
      <c r="E20" s="86"/>
      <c r="F20" s="86"/>
      <c r="G20" s="87"/>
      <c r="H20" s="1"/>
      <c r="I20" s="1"/>
    </row>
    <row r="21" spans="1:9" x14ac:dyDescent="0.35">
      <c r="A21" s="1"/>
      <c r="B21" s="1"/>
      <c r="C21" s="6" t="s">
        <v>88</v>
      </c>
      <c r="D21" s="91" t="s">
        <v>11</v>
      </c>
      <c r="E21" s="92"/>
      <c r="F21" s="92"/>
      <c r="G21" s="93"/>
      <c r="H21" s="1"/>
      <c r="I21" s="1"/>
    </row>
    <row r="22" spans="1:9" x14ac:dyDescent="0.35">
      <c r="A22" s="1"/>
      <c r="B22" s="1"/>
      <c r="C22" s="6" t="s">
        <v>73</v>
      </c>
      <c r="D22" s="80" t="s">
        <v>196</v>
      </c>
      <c r="E22" s="81"/>
      <c r="F22" s="81"/>
      <c r="G22" s="82"/>
      <c r="H22" s="1"/>
      <c r="I22" s="1"/>
    </row>
    <row r="23" spans="1:9" x14ac:dyDescent="0.35">
      <c r="A23" s="1"/>
      <c r="B23" s="1"/>
      <c r="C23" s="6" t="s">
        <v>8</v>
      </c>
      <c r="D23" s="80" t="s">
        <v>176</v>
      </c>
      <c r="E23" s="81"/>
      <c r="F23" s="81"/>
      <c r="G23" s="82"/>
      <c r="H23" s="1"/>
      <c r="I23" s="1"/>
    </row>
    <row r="24" spans="1:9" x14ac:dyDescent="0.35">
      <c r="A24" s="1"/>
      <c r="B24" s="1"/>
      <c r="C24" s="6" t="s">
        <v>172</v>
      </c>
      <c r="D24" s="80" t="s">
        <v>163</v>
      </c>
      <c r="E24" s="81"/>
      <c r="F24" s="81"/>
      <c r="G24" s="82"/>
      <c r="H24" s="1"/>
      <c r="I24" s="1"/>
    </row>
    <row r="25" spans="1:9" x14ac:dyDescent="0.35">
      <c r="A25" s="1"/>
      <c r="B25" s="1"/>
      <c r="C25" s="6" t="s">
        <v>173</v>
      </c>
      <c r="D25" s="80" t="s">
        <v>74</v>
      </c>
      <c r="E25" s="81"/>
      <c r="F25" s="81"/>
      <c r="G25" s="82"/>
      <c r="H25" s="1"/>
      <c r="I25" s="1"/>
    </row>
    <row r="26" spans="1:9" x14ac:dyDescent="0.35">
      <c r="A26" s="1"/>
      <c r="B26" s="1"/>
      <c r="C26" s="6" t="s">
        <v>174</v>
      </c>
      <c r="D26" s="80" t="s">
        <v>75</v>
      </c>
      <c r="E26" s="81"/>
      <c r="F26" s="81"/>
      <c r="G26" s="82"/>
      <c r="H26" s="1"/>
      <c r="I26" s="1"/>
    </row>
    <row r="27" spans="1:9" x14ac:dyDescent="0.35">
      <c r="A27" s="1"/>
      <c r="B27" s="1"/>
      <c r="C27" s="6" t="s">
        <v>89</v>
      </c>
      <c r="D27" s="80" t="s">
        <v>103</v>
      </c>
      <c r="E27" s="81"/>
      <c r="F27" s="81"/>
      <c r="G27" s="82"/>
      <c r="H27" s="1"/>
      <c r="I27" s="1"/>
    </row>
    <row r="28" spans="1:9" x14ac:dyDescent="0.35">
      <c r="A28" s="1"/>
      <c r="B28" s="1"/>
      <c r="C28" s="6" t="s">
        <v>83</v>
      </c>
      <c r="D28" s="80" t="s">
        <v>32</v>
      </c>
      <c r="E28" s="81"/>
      <c r="F28" s="81"/>
      <c r="G28" s="82"/>
      <c r="H28" s="1"/>
      <c r="I28" s="1"/>
    </row>
    <row r="29" spans="1:9" x14ac:dyDescent="0.35">
      <c r="A29" s="1"/>
      <c r="B29" s="1"/>
      <c r="C29" s="6" t="s">
        <v>175</v>
      </c>
      <c r="D29" s="88" t="s">
        <v>84</v>
      </c>
      <c r="E29" s="89"/>
      <c r="F29" s="89"/>
      <c r="G29" s="90"/>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4"/>
      <c r="B51" s="44"/>
      <c r="C51" s="44"/>
      <c r="D51" s="44"/>
      <c r="E51" s="44"/>
      <c r="F51" s="44"/>
      <c r="G51" s="44"/>
      <c r="H51" s="44"/>
      <c r="I51" s="44"/>
    </row>
  </sheetData>
  <sheetProtection algorithmName="SHA-512" hashValue="dRB2x4/Be/uCbKBJ2oMQRQ3AFRz94nq1nRhVm0Z+uqdxXgze1daspzSzTZYESj6roRQuhypv1O0eTPJmFwd3vA==" saltValue="g5L6g+H+UWdlW1coNNyqL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4" t="s">
        <v>92</v>
      </c>
      <c r="C3" s="94"/>
      <c r="D3" s="94"/>
      <c r="E3" s="1"/>
      <c r="F3" s="1"/>
    </row>
    <row r="4" spans="1:6" ht="15" customHeight="1" x14ac:dyDescent="0.35">
      <c r="A4" s="1"/>
      <c r="B4" s="94"/>
      <c r="C4" s="94"/>
      <c r="D4" s="94"/>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04" t="s">
        <v>226</v>
      </c>
      <c r="C8" s="105"/>
      <c r="D8" s="106"/>
      <c r="E8" s="1"/>
      <c r="F8" s="1"/>
    </row>
    <row r="9" spans="1:6" ht="15" customHeight="1" x14ac:dyDescent="0.35">
      <c r="A9" s="1"/>
      <c r="B9" s="32" t="s">
        <v>28</v>
      </c>
      <c r="C9" s="11" t="s">
        <v>212</v>
      </c>
      <c r="D9" s="11"/>
      <c r="E9" s="1"/>
      <c r="F9" s="1"/>
    </row>
    <row r="10" spans="1:6" ht="15" customHeight="1" x14ac:dyDescent="0.35">
      <c r="A10" s="1"/>
      <c r="B10" s="67" t="s">
        <v>245</v>
      </c>
      <c r="C10" s="9">
        <v>6620009</v>
      </c>
      <c r="D10" s="14" t="s">
        <v>3</v>
      </c>
      <c r="E10" s="1"/>
      <c r="F10" s="1"/>
    </row>
    <row r="11" spans="1:6" x14ac:dyDescent="0.35">
      <c r="A11" s="1"/>
      <c r="B11" s="67" t="s">
        <v>246</v>
      </c>
      <c r="C11" s="9">
        <v>74830</v>
      </c>
      <c r="D11" s="14" t="s">
        <v>3</v>
      </c>
      <c r="E11" s="1"/>
      <c r="F11" s="1"/>
    </row>
    <row r="12" spans="1:6" x14ac:dyDescent="0.35">
      <c r="A12" s="1"/>
      <c r="B12" s="67" t="s">
        <v>247</v>
      </c>
      <c r="C12" s="9">
        <v>89076</v>
      </c>
      <c r="D12" s="14" t="s">
        <v>3</v>
      </c>
      <c r="E12" s="1"/>
      <c r="F12" s="1"/>
    </row>
    <row r="13" spans="1:6" ht="26.5" x14ac:dyDescent="0.35">
      <c r="A13" s="1"/>
      <c r="B13" s="56" t="s">
        <v>248</v>
      </c>
      <c r="C13" s="9">
        <v>189035</v>
      </c>
      <c r="D13" s="14" t="s">
        <v>3</v>
      </c>
      <c r="E13" s="1"/>
      <c r="F13" s="1"/>
    </row>
    <row r="14" spans="1:6" x14ac:dyDescent="0.35">
      <c r="A14" s="1"/>
      <c r="B14" s="67"/>
      <c r="C14" s="9"/>
      <c r="D14" s="14" t="s">
        <v>3</v>
      </c>
      <c r="E14" s="1"/>
      <c r="F14" s="1"/>
    </row>
    <row r="15" spans="1:6" x14ac:dyDescent="0.35">
      <c r="A15" s="1"/>
      <c r="B15" s="67"/>
      <c r="C15" s="9"/>
      <c r="D15" s="14" t="s">
        <v>3</v>
      </c>
      <c r="E15" s="1"/>
      <c r="F15" s="1"/>
    </row>
    <row r="16" spans="1:6" x14ac:dyDescent="0.35">
      <c r="A16" s="1"/>
      <c r="B16" s="67"/>
      <c r="C16" s="9"/>
      <c r="D16" s="14" t="s">
        <v>3</v>
      </c>
      <c r="E16" s="1"/>
      <c r="F16" s="1"/>
    </row>
    <row r="17" spans="1:6" x14ac:dyDescent="0.35">
      <c r="A17" s="1"/>
      <c r="B17" s="67"/>
      <c r="C17" s="9"/>
      <c r="D17" s="14" t="s">
        <v>3</v>
      </c>
      <c r="E17" s="1"/>
      <c r="F17" s="1"/>
    </row>
    <row r="18" spans="1:6" x14ac:dyDescent="0.35">
      <c r="A18" s="1"/>
      <c r="B18" s="67"/>
      <c r="C18" s="9"/>
      <c r="D18" s="14" t="s">
        <v>3</v>
      </c>
      <c r="E18" s="1"/>
      <c r="F18" s="1"/>
    </row>
    <row r="19" spans="1:6" x14ac:dyDescent="0.35">
      <c r="A19" s="1"/>
      <c r="B19" s="53" t="s">
        <v>213</v>
      </c>
      <c r="C19" s="12">
        <f>SUM(C10:C18)</f>
        <v>6972950</v>
      </c>
      <c r="D19" s="13" t="s">
        <v>3</v>
      </c>
      <c r="E19" s="1"/>
      <c r="F19" s="1"/>
    </row>
    <row r="20" spans="1:6" x14ac:dyDescent="0.35">
      <c r="A20" s="1"/>
      <c r="B20" s="53" t="s">
        <v>214</v>
      </c>
      <c r="C20" s="12">
        <f>C19*(1+'Fane 13. Nøgletal'!C16)^2</f>
        <v>8145302.600288</v>
      </c>
      <c r="D20" s="13" t="s">
        <v>3</v>
      </c>
      <c r="E20" s="1"/>
      <c r="F20" s="1"/>
    </row>
    <row r="21" spans="1:6" x14ac:dyDescent="0.35">
      <c r="A21" s="1"/>
      <c r="B21" s="16"/>
      <c r="C21" s="15"/>
      <c r="D21" s="15"/>
      <c r="E21" s="1"/>
      <c r="F21" s="1"/>
    </row>
    <row r="22" spans="1:6" x14ac:dyDescent="0.35">
      <c r="A22" s="1"/>
      <c r="B22" s="16"/>
      <c r="C22" s="15"/>
      <c r="D22" s="15"/>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44"/>
      <c r="B50" s="44"/>
      <c r="C50" s="44"/>
      <c r="D50" s="44"/>
      <c r="E50" s="44"/>
      <c r="F50" s="44"/>
    </row>
    <row r="51" spans="1:6" x14ac:dyDescent="0.35">
      <c r="A51" s="44"/>
      <c r="B51" s="44"/>
      <c r="C51" s="44"/>
      <c r="D51" s="44"/>
      <c r="E51" s="44"/>
      <c r="F51" s="44"/>
    </row>
    <row r="52" spans="1:6" x14ac:dyDescent="0.35">
      <c r="A52" s="44"/>
      <c r="B52" s="44"/>
      <c r="C52" s="44"/>
      <c r="D52" s="44"/>
      <c r="E52" s="44"/>
      <c r="F52" s="44"/>
    </row>
    <row r="53" spans="1:6" x14ac:dyDescent="0.35">
      <c r="A53" s="44"/>
      <c r="B53" s="44"/>
      <c r="C53" s="44"/>
      <c r="D53" s="44"/>
      <c r="E53" s="44"/>
      <c r="F53" s="44"/>
    </row>
    <row r="54" spans="1:6" x14ac:dyDescent="0.35">
      <c r="A54" s="44"/>
      <c r="B54" s="44"/>
      <c r="C54" s="44"/>
      <c r="D54" s="44"/>
      <c r="E54" s="44"/>
      <c r="F54" s="44"/>
    </row>
    <row r="55" spans="1:6" x14ac:dyDescent="0.35">
      <c r="A55" s="44"/>
      <c r="B55" s="44"/>
      <c r="C55" s="44"/>
      <c r="D55" s="44"/>
      <c r="E55" s="44"/>
      <c r="F55" s="44"/>
    </row>
    <row r="56" spans="1:6" x14ac:dyDescent="0.35">
      <c r="A56" s="44"/>
      <c r="B56" s="44"/>
      <c r="C56" s="44"/>
      <c r="D56" s="44"/>
      <c r="E56" s="44"/>
      <c r="F56" s="44"/>
    </row>
  </sheetData>
  <sheetProtection algorithmName="SHA-512" hashValue="6Q1GjObbHCC+J8orWdNZTMvkqK2JB9Wn8wSndgUaLjX/U9sCjDWUsvFzC0PasGiL/oKrsAQ1NRLzckukfIK6FQ==" saltValue="eV/jnEowh9wtO5MgHMazf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7" t="s">
        <v>227</v>
      </c>
      <c r="C3" s="97"/>
      <c r="D3" s="97"/>
      <c r="E3" s="97"/>
      <c r="F3" s="97"/>
      <c r="G3" s="1"/>
    </row>
    <row r="4" spans="1:7" ht="15" customHeight="1" x14ac:dyDescent="0.35">
      <c r="A4" s="1"/>
      <c r="B4" s="97"/>
      <c r="C4" s="97"/>
      <c r="D4" s="97"/>
      <c r="E4" s="97"/>
      <c r="F4" s="97"/>
      <c r="G4" s="1"/>
    </row>
    <row r="5" spans="1:7" ht="15" customHeight="1" x14ac:dyDescent="0.35">
      <c r="A5" s="1"/>
      <c r="B5" s="60"/>
      <c r="C5" s="60"/>
      <c r="D5" s="60"/>
      <c r="E5" s="60"/>
      <c r="F5" s="60"/>
      <c r="G5" s="1"/>
    </row>
    <row r="6" spans="1:7" ht="15" customHeight="1" x14ac:dyDescent="0.35">
      <c r="A6" s="1"/>
      <c r="B6" s="60"/>
      <c r="C6" s="60"/>
      <c r="D6" s="60"/>
      <c r="E6" s="60"/>
      <c r="F6" s="60"/>
      <c r="G6" s="1"/>
    </row>
    <row r="7" spans="1:7" x14ac:dyDescent="0.35">
      <c r="A7" s="1"/>
      <c r="B7" s="1"/>
      <c r="C7" s="1"/>
      <c r="D7" s="1"/>
      <c r="E7" s="1"/>
      <c r="F7" s="1"/>
      <c r="G7" s="1"/>
    </row>
    <row r="8" spans="1:7" x14ac:dyDescent="0.35">
      <c r="A8" s="1"/>
      <c r="B8" s="104" t="s">
        <v>249</v>
      </c>
      <c r="C8" s="105"/>
      <c r="D8" s="105"/>
      <c r="E8" s="105"/>
      <c r="F8" s="106"/>
      <c r="G8" s="1"/>
    </row>
    <row r="9" spans="1:7" x14ac:dyDescent="0.35">
      <c r="A9" s="1"/>
      <c r="B9" s="98" t="s">
        <v>250</v>
      </c>
      <c r="C9" s="99"/>
      <c r="D9" s="100"/>
      <c r="E9" s="28">
        <v>-896088.46434792504</v>
      </c>
      <c r="F9" s="14" t="s">
        <v>3</v>
      </c>
      <c r="G9" s="1"/>
    </row>
    <row r="10" spans="1:7" x14ac:dyDescent="0.35">
      <c r="A10" s="1"/>
      <c r="B10" s="53"/>
      <c r="C10" s="54"/>
      <c r="D10" s="54"/>
      <c r="E10" s="54"/>
      <c r="F10" s="19"/>
      <c r="G10" s="1"/>
    </row>
    <row r="11" spans="1:7" ht="52.5" customHeight="1" x14ac:dyDescent="0.35">
      <c r="A11" s="1"/>
      <c r="B11" s="116" t="s">
        <v>251</v>
      </c>
      <c r="C11" s="117"/>
      <c r="D11" s="117"/>
      <c r="E11" s="117"/>
      <c r="F11" s="118"/>
      <c r="G11" s="1"/>
    </row>
    <row r="12" spans="1:7" x14ac:dyDescent="0.35">
      <c r="A12" s="1"/>
      <c r="B12" s="1"/>
      <c r="C12" s="1"/>
      <c r="D12" s="1"/>
      <c r="E12" s="1"/>
      <c r="F12" s="1"/>
      <c r="G12" s="1"/>
    </row>
    <row r="13" spans="1:7" x14ac:dyDescent="0.35">
      <c r="A13" s="1"/>
      <c r="B13" s="104" t="s">
        <v>140</v>
      </c>
      <c r="C13" s="105"/>
      <c r="D13" s="105"/>
      <c r="E13" s="105"/>
      <c r="F13" s="106"/>
      <c r="G13" s="1"/>
    </row>
    <row r="14" spans="1:7" x14ac:dyDescent="0.35">
      <c r="A14" s="1"/>
      <c r="B14" s="98" t="s">
        <v>252</v>
      </c>
      <c r="C14" s="99"/>
      <c r="D14" s="100"/>
      <c r="E14" s="9">
        <v>-448044.23217396252</v>
      </c>
      <c r="F14" s="14" t="s">
        <v>3</v>
      </c>
      <c r="G14" s="1"/>
    </row>
    <row r="15" spans="1:7" x14ac:dyDescent="0.35">
      <c r="A15" s="1"/>
      <c r="B15" s="98" t="s">
        <v>253</v>
      </c>
      <c r="C15" s="99"/>
      <c r="D15" s="100"/>
      <c r="E15" s="9">
        <v>-448044.23217396252</v>
      </c>
      <c r="F15" s="14" t="s">
        <v>3</v>
      </c>
      <c r="G15" s="1"/>
    </row>
    <row r="16" spans="1:7" x14ac:dyDescent="0.35">
      <c r="A16" s="1"/>
      <c r="B16" s="53"/>
      <c r="C16" s="54"/>
      <c r="D16" s="54"/>
      <c r="E16" s="54"/>
      <c r="F16" s="19"/>
      <c r="G16" s="1"/>
    </row>
    <row r="17" spans="1:7" ht="32.25" customHeight="1" x14ac:dyDescent="0.35">
      <c r="A17" s="1"/>
      <c r="B17" s="116" t="s">
        <v>254</v>
      </c>
      <c r="C17" s="117"/>
      <c r="D17" s="117"/>
      <c r="E17" s="117"/>
      <c r="F17" s="118"/>
      <c r="G17" s="1"/>
    </row>
    <row r="18" spans="1:7" x14ac:dyDescent="0.35">
      <c r="A18" s="1"/>
      <c r="B18" s="1"/>
      <c r="C18" s="1"/>
      <c r="D18" s="1"/>
      <c r="E18" s="1"/>
      <c r="F18" s="1"/>
      <c r="G18" s="1"/>
    </row>
    <row r="19" spans="1:7" x14ac:dyDescent="0.35">
      <c r="A19" s="1"/>
      <c r="B19" s="61" t="s">
        <v>255</v>
      </c>
      <c r="C19" s="62"/>
      <c r="D19" s="62"/>
      <c r="E19" s="62"/>
      <c r="F19" s="63"/>
      <c r="G19" s="1"/>
    </row>
    <row r="20" spans="1:7" x14ac:dyDescent="0.35">
      <c r="A20" s="1"/>
      <c r="B20" s="64" t="s">
        <v>256</v>
      </c>
      <c r="C20" s="65"/>
      <c r="D20" s="66"/>
      <c r="E20" s="9">
        <v>25712355.42153804</v>
      </c>
      <c r="F20" s="14" t="s">
        <v>3</v>
      </c>
      <c r="G20" s="1"/>
    </row>
    <row r="21" spans="1:7" x14ac:dyDescent="0.35">
      <c r="A21" s="1"/>
      <c r="B21" s="64" t="s">
        <v>257</v>
      </c>
      <c r="C21" s="65"/>
      <c r="D21" s="66"/>
      <c r="E21" s="9">
        <v>23536134</v>
      </c>
      <c r="F21" s="14" t="s">
        <v>3</v>
      </c>
      <c r="G21" s="1"/>
    </row>
    <row r="22" spans="1:7" x14ac:dyDescent="0.35">
      <c r="A22" s="1"/>
      <c r="B22" s="64" t="s">
        <v>29</v>
      </c>
      <c r="C22" s="65"/>
      <c r="D22" s="66"/>
      <c r="E22" s="9">
        <v>0</v>
      </c>
      <c r="F22" s="14" t="s">
        <v>3</v>
      </c>
      <c r="G22" s="1"/>
    </row>
    <row r="23" spans="1:7" x14ac:dyDescent="0.35">
      <c r="A23" s="1"/>
      <c r="B23" s="69" t="s">
        <v>258</v>
      </c>
      <c r="C23" s="70"/>
      <c r="D23" s="71"/>
      <c r="E23" s="10">
        <f>E20-(E21-E22)</f>
        <v>2176221.42153804</v>
      </c>
      <c r="F23" s="17" t="s">
        <v>3</v>
      </c>
      <c r="G23" s="1"/>
    </row>
    <row r="24" spans="1:7" x14ac:dyDescent="0.35">
      <c r="A24" s="1"/>
      <c r="B24" s="53"/>
      <c r="C24" s="54"/>
      <c r="D24" s="54"/>
      <c r="E24" s="54"/>
      <c r="F24" s="19"/>
      <c r="G24" s="1"/>
    </row>
    <row r="25" spans="1:7" x14ac:dyDescent="0.35">
      <c r="A25" s="1"/>
      <c r="B25" s="1"/>
      <c r="C25" s="1"/>
      <c r="D25" s="1"/>
      <c r="E25" s="1"/>
      <c r="F25" s="1"/>
      <c r="G25" s="1"/>
    </row>
    <row r="26" spans="1:7" x14ac:dyDescent="0.35">
      <c r="A26" s="1"/>
      <c r="B26" s="104" t="s">
        <v>259</v>
      </c>
      <c r="C26" s="105"/>
      <c r="D26" s="105"/>
      <c r="E26" s="105"/>
      <c r="F26" s="106"/>
      <c r="G26" s="1"/>
    </row>
    <row r="27" spans="1:7" x14ac:dyDescent="0.35">
      <c r="A27" s="1"/>
      <c r="B27" s="123" t="s">
        <v>260</v>
      </c>
      <c r="C27" s="124"/>
      <c r="D27" s="125"/>
      <c r="E27" s="58">
        <f>IF(AND(E15&lt;0,E23&gt;0,ABS(SUM(E14:E15))&lt;E23),ABS(E14),IF(AND(E15&lt;0,E23&gt;0,ABS(SUM(E14:E15))&gt;E23),SUM(E14,E23),0))</f>
        <v>448044.23217396252</v>
      </c>
      <c r="F27" s="17" t="s">
        <v>3</v>
      </c>
      <c r="G27" s="1"/>
    </row>
    <row r="28" spans="1:7" x14ac:dyDescent="0.35">
      <c r="A28" s="1"/>
      <c r="B28" s="104"/>
      <c r="C28" s="105"/>
      <c r="D28" s="105"/>
      <c r="E28" s="105"/>
      <c r="F28" s="106"/>
      <c r="G28" s="1"/>
    </row>
    <row r="29" spans="1:7" x14ac:dyDescent="0.35">
      <c r="A29" s="1"/>
      <c r="B29" s="1"/>
      <c r="C29" s="1"/>
      <c r="D29" s="1"/>
      <c r="E29" s="1"/>
      <c r="F29" s="1"/>
      <c r="G29" s="1"/>
    </row>
    <row r="30" spans="1:7" x14ac:dyDescent="0.35">
      <c r="A30" s="1"/>
      <c r="B30" s="104" t="s">
        <v>261</v>
      </c>
      <c r="C30" s="105"/>
      <c r="D30" s="105"/>
      <c r="E30" s="105"/>
      <c r="F30" s="106"/>
      <c r="G30" s="1"/>
    </row>
    <row r="31" spans="1:7" x14ac:dyDescent="0.35">
      <c r="A31" s="1"/>
      <c r="B31" s="126" t="s">
        <v>117</v>
      </c>
      <c r="C31" s="127"/>
      <c r="D31" s="128"/>
      <c r="E31" s="59">
        <f>IF(AND(E9&gt;0,(E9+E23)&gt;0),0,IF(AND(E9&gt;0,(E9+E23)&lt;0),(E9+E23),IF(AND(E9&lt;0,E23&lt;0),E23,0)))</f>
        <v>0</v>
      </c>
      <c r="F31" s="14" t="s">
        <v>3</v>
      </c>
      <c r="G31" s="1"/>
    </row>
    <row r="32" spans="1:7" x14ac:dyDescent="0.35">
      <c r="A32" s="1"/>
      <c r="B32" s="126" t="s">
        <v>85</v>
      </c>
      <c r="C32" s="127"/>
      <c r="D32" s="128"/>
      <c r="E32" s="9">
        <v>2</v>
      </c>
      <c r="F32" s="14" t="s">
        <v>18</v>
      </c>
      <c r="G32" s="1"/>
    </row>
    <row r="33" spans="1:7" x14ac:dyDescent="0.35">
      <c r="A33" s="1"/>
      <c r="B33" s="119" t="s">
        <v>116</v>
      </c>
      <c r="C33" s="119"/>
      <c r="D33" s="119"/>
      <c r="E33" s="58">
        <f>E31/E32</f>
        <v>0</v>
      </c>
      <c r="F33" s="17" t="s">
        <v>3</v>
      </c>
      <c r="G33" s="1"/>
    </row>
    <row r="34" spans="1:7" x14ac:dyDescent="0.35">
      <c r="A34" s="1"/>
      <c r="B34" s="120"/>
      <c r="C34" s="121"/>
      <c r="D34" s="121"/>
      <c r="E34" s="121"/>
      <c r="F34" s="122"/>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SoiBOSyJwjnSByqO9jHjq3uNOo6FyCV8dlkTdgFTyOihJhCMDI3eb3qkRbO1u4hR5WeyUBnE2TVJSnWuGxekZA==" saltValue="LY57n60UEkl2Ig7B6oHBZg=="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796875" defaultRowHeight="14.5" x14ac:dyDescent="0.35"/>
  <cols>
    <col min="1" max="1" width="4.7265625" style="34" customWidth="1"/>
    <col min="2" max="2" width="22.54296875" style="34" customWidth="1"/>
    <col min="3" max="3" width="8.26953125" style="34" customWidth="1"/>
    <col min="4" max="6" width="10.7265625" style="34" customWidth="1"/>
    <col min="7" max="7" width="11.1796875" style="34" customWidth="1"/>
    <col min="8" max="8" width="3.26953125" style="34" customWidth="1"/>
    <col min="9" max="9" width="4.81640625" style="34" customWidth="1"/>
    <col min="10" max="16384" width="9.1796875" style="34"/>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4" t="s">
        <v>183</v>
      </c>
      <c r="C3" s="94"/>
      <c r="D3" s="94"/>
      <c r="E3" s="94"/>
      <c r="F3" s="94"/>
      <c r="G3" s="94"/>
      <c r="H3" s="94"/>
      <c r="I3" s="1"/>
    </row>
    <row r="4" spans="1:9" ht="15" customHeight="1" x14ac:dyDescent="0.35">
      <c r="A4" s="1"/>
      <c r="B4" s="94"/>
      <c r="C4" s="94"/>
      <c r="D4" s="94"/>
      <c r="E4" s="94"/>
      <c r="F4" s="94"/>
      <c r="G4" s="94"/>
      <c r="H4" s="94"/>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04" t="s">
        <v>184</v>
      </c>
      <c r="C8" s="105"/>
      <c r="D8" s="105"/>
      <c r="E8" s="105"/>
      <c r="F8" s="105"/>
      <c r="G8" s="105"/>
      <c r="H8" s="106"/>
      <c r="I8" s="1"/>
    </row>
    <row r="9" spans="1:9" ht="15" customHeight="1" x14ac:dyDescent="0.35">
      <c r="A9" s="1"/>
      <c r="B9" s="129" t="s">
        <v>234</v>
      </c>
      <c r="C9" s="130"/>
      <c r="D9" s="130"/>
      <c r="E9" s="130"/>
      <c r="F9" s="130"/>
      <c r="G9" s="130"/>
      <c r="H9" s="131"/>
      <c r="I9" s="1"/>
    </row>
    <row r="10" spans="1:9" x14ac:dyDescent="0.35">
      <c r="A10" s="1"/>
      <c r="B10" s="132" t="s">
        <v>185</v>
      </c>
      <c r="C10" s="133"/>
      <c r="D10" s="133"/>
      <c r="E10" s="133"/>
      <c r="F10" s="134"/>
      <c r="G10" s="45"/>
      <c r="H10" s="9" t="s">
        <v>3</v>
      </c>
      <c r="I10" s="1"/>
    </row>
    <row r="11" spans="1:9" x14ac:dyDescent="0.35">
      <c r="A11" s="1"/>
      <c r="B11" s="132" t="s">
        <v>186</v>
      </c>
      <c r="C11" s="133"/>
      <c r="D11" s="133"/>
      <c r="E11" s="133"/>
      <c r="F11" s="134"/>
      <c r="G11" s="45"/>
      <c r="H11" s="9" t="s">
        <v>3</v>
      </c>
      <c r="I11" s="1"/>
    </row>
    <row r="12" spans="1:9" x14ac:dyDescent="0.35">
      <c r="A12" s="1"/>
      <c r="B12" s="132" t="s">
        <v>187</v>
      </c>
      <c r="C12" s="133"/>
      <c r="D12" s="133"/>
      <c r="E12" s="133"/>
      <c r="F12" s="134"/>
      <c r="G12" s="9"/>
      <c r="H12" s="9" t="s">
        <v>3</v>
      </c>
      <c r="I12" s="1"/>
    </row>
    <row r="13" spans="1:9" x14ac:dyDescent="0.35">
      <c r="A13" s="1"/>
      <c r="B13" s="132" t="s">
        <v>188</v>
      </c>
      <c r="C13" s="133"/>
      <c r="D13" s="133"/>
      <c r="E13" s="133"/>
      <c r="F13" s="134"/>
      <c r="G13" s="9"/>
      <c r="H13" s="9" t="s">
        <v>3</v>
      </c>
      <c r="I13" s="1"/>
    </row>
    <row r="14" spans="1:9" x14ac:dyDescent="0.35">
      <c r="A14" s="1"/>
      <c r="B14" s="132" t="s">
        <v>189</v>
      </c>
      <c r="C14" s="133"/>
      <c r="D14" s="133"/>
      <c r="E14" s="133"/>
      <c r="F14" s="134"/>
      <c r="G14" s="9"/>
      <c r="H14" s="9" t="s">
        <v>3</v>
      </c>
      <c r="I14" s="1"/>
    </row>
    <row r="15" spans="1:9" x14ac:dyDescent="0.35">
      <c r="A15" s="1"/>
      <c r="B15" s="132" t="s">
        <v>190</v>
      </c>
      <c r="C15" s="133"/>
      <c r="D15" s="133"/>
      <c r="E15" s="133"/>
      <c r="F15" s="134"/>
      <c r="G15" s="9"/>
      <c r="H15" s="9" t="s">
        <v>3</v>
      </c>
      <c r="I15" s="1"/>
    </row>
    <row r="16" spans="1:9" x14ac:dyDescent="0.35">
      <c r="A16" s="1"/>
      <c r="B16" s="132" t="s">
        <v>191</v>
      </c>
      <c r="C16" s="133"/>
      <c r="D16" s="133"/>
      <c r="E16" s="133"/>
      <c r="F16" s="134"/>
      <c r="G16" s="9"/>
      <c r="H16" s="9" t="s">
        <v>3</v>
      </c>
      <c r="I16" s="1"/>
    </row>
    <row r="17" spans="1:9" x14ac:dyDescent="0.35">
      <c r="A17" s="1"/>
      <c r="B17" s="132" t="s">
        <v>192</v>
      </c>
      <c r="C17" s="133"/>
      <c r="D17" s="133"/>
      <c r="E17" s="133"/>
      <c r="F17" s="134"/>
      <c r="G17" s="9"/>
      <c r="H17" s="9" t="s">
        <v>3</v>
      </c>
      <c r="I17" s="1"/>
    </row>
    <row r="18" spans="1:9" x14ac:dyDescent="0.35">
      <c r="A18" s="1"/>
      <c r="B18" s="104" t="s">
        <v>193</v>
      </c>
      <c r="C18" s="105"/>
      <c r="D18" s="105"/>
      <c r="E18" s="105"/>
      <c r="F18" s="106"/>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J/EG8pMd7zqNfHkNFUjs1/mKuqGDDMlrvTDXmfGzP8i/vl57Xk3rLVT4rGgMgbiIkEPIov8YbQ3+N8yCbSGzeA==" saltValue="RhWcSYktMn52IZAppL2b3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796875" defaultRowHeight="14.5" x14ac:dyDescent="0.35"/>
  <cols>
    <col min="1" max="1" width="3.81640625" style="2" customWidth="1"/>
    <col min="2" max="2" width="21.1796875" style="2" customWidth="1"/>
    <col min="3" max="3" width="7.26953125" style="2" customWidth="1"/>
    <col min="4" max="4" width="9.453125" style="2" customWidth="1"/>
    <col min="5" max="5" width="2.7265625" style="2" customWidth="1"/>
    <col min="6" max="6" width="10" style="2" customWidth="1"/>
    <col min="7" max="7" width="2.7265625" style="2" customWidth="1"/>
    <col min="8" max="8" width="10" style="2" customWidth="1"/>
    <col min="9" max="9" width="2.7265625" style="2" customWidth="1"/>
    <col min="10" max="10" width="10" style="2" customWidth="1"/>
    <col min="11" max="11" width="3" style="2" customWidth="1"/>
    <col min="12" max="12" width="3.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4" t="s">
        <v>177</v>
      </c>
      <c r="C3" s="94"/>
      <c r="D3" s="94"/>
      <c r="E3" s="94"/>
      <c r="F3" s="94"/>
      <c r="G3" s="94"/>
      <c r="H3" s="94"/>
      <c r="I3" s="94"/>
      <c r="J3" s="94"/>
      <c r="K3" s="94"/>
      <c r="L3" s="1"/>
    </row>
    <row r="4" spans="1:12" ht="15" customHeight="1" x14ac:dyDescent="0.35">
      <c r="A4" s="1"/>
      <c r="B4" s="94"/>
      <c r="C4" s="94"/>
      <c r="D4" s="94"/>
      <c r="E4" s="94"/>
      <c r="F4" s="94"/>
      <c r="G4" s="94"/>
      <c r="H4" s="94"/>
      <c r="I4" s="94"/>
      <c r="J4" s="94"/>
      <c r="K4" s="94"/>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04" t="s">
        <v>155</v>
      </c>
      <c r="C8" s="105"/>
      <c r="D8" s="105"/>
      <c r="E8" s="105"/>
      <c r="F8" s="105"/>
      <c r="G8" s="105"/>
      <c r="H8" s="105"/>
      <c r="I8" s="105"/>
      <c r="J8" s="105"/>
      <c r="K8" s="106"/>
      <c r="L8" s="1"/>
    </row>
    <row r="9" spans="1:12" ht="39.75" customHeight="1" x14ac:dyDescent="0.35">
      <c r="A9" s="1"/>
      <c r="B9" s="18" t="s">
        <v>0</v>
      </c>
      <c r="C9" s="18" t="s">
        <v>1</v>
      </c>
      <c r="D9" s="135" t="s">
        <v>170</v>
      </c>
      <c r="E9" s="136"/>
      <c r="F9" s="135" t="s">
        <v>2</v>
      </c>
      <c r="G9" s="136"/>
      <c r="H9" s="135" t="s">
        <v>171</v>
      </c>
      <c r="I9" s="136"/>
      <c r="J9" s="135" t="s">
        <v>26</v>
      </c>
      <c r="K9" s="136"/>
      <c r="L9" s="1"/>
    </row>
    <row r="10" spans="1:12" x14ac:dyDescent="0.35">
      <c r="A10" s="1"/>
      <c r="B10" s="74" t="s">
        <v>238</v>
      </c>
      <c r="C10" s="31">
        <v>0</v>
      </c>
      <c r="D10" s="9">
        <v>0</v>
      </c>
      <c r="E10" s="14" t="s">
        <v>3</v>
      </c>
      <c r="F10" s="75">
        <f>IFERROR(D10/C10,0)</f>
        <v>0</v>
      </c>
      <c r="G10" s="14" t="s">
        <v>3</v>
      </c>
      <c r="H10" s="9">
        <v>0</v>
      </c>
      <c r="I10" s="14" t="s">
        <v>3</v>
      </c>
      <c r="J10" s="9">
        <v>0</v>
      </c>
      <c r="K10" s="14" t="s">
        <v>3</v>
      </c>
      <c r="L10" s="1"/>
    </row>
    <row r="11" spans="1:12" x14ac:dyDescent="0.35">
      <c r="A11" s="1"/>
      <c r="B11" s="53" t="s">
        <v>215</v>
      </c>
      <c r="C11" s="54"/>
      <c r="D11" s="19"/>
      <c r="E11" s="63"/>
      <c r="F11" s="12">
        <f>SUM(F10:F10)</f>
        <v>0</v>
      </c>
      <c r="G11" s="13" t="s">
        <v>3</v>
      </c>
      <c r="H11" s="12">
        <f>SUM(H10:H10)</f>
        <v>0</v>
      </c>
      <c r="I11" s="13" t="s">
        <v>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44"/>
      <c r="B43" s="44"/>
      <c r="C43" s="44"/>
      <c r="D43" s="44"/>
      <c r="E43" s="44"/>
      <c r="F43" s="44"/>
      <c r="G43" s="44"/>
      <c r="H43" s="44"/>
      <c r="I43" s="44"/>
      <c r="J43" s="44"/>
      <c r="K43" s="44"/>
      <c r="L43" s="44"/>
    </row>
    <row r="44" spans="1:12" x14ac:dyDescent="0.35">
      <c r="A44" s="44"/>
      <c r="B44" s="44"/>
      <c r="C44" s="44"/>
      <c r="D44" s="44"/>
      <c r="E44" s="44"/>
      <c r="F44" s="44"/>
      <c r="G44" s="44"/>
      <c r="H44" s="44"/>
      <c r="I44" s="44"/>
      <c r="J44" s="44"/>
      <c r="K44" s="44"/>
      <c r="L44" s="44"/>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RVbr1aEoHTgX/e7NpnSpqiQPdM8kWEn0a9h6zuJGip3NUfO3vO4P0G0eEnlgVmjopHAY29CMAXCEKtYV8dopuQ==" saltValue="srvSycseCd1X8cPJEwGZZ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178</v>
      </c>
      <c r="C3" s="94"/>
      <c r="D3" s="94"/>
      <c r="E3" s="94"/>
      <c r="F3" s="94"/>
      <c r="G3" s="1"/>
    </row>
    <row r="4" spans="1:7" ht="1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3" t="s">
        <v>70</v>
      </c>
      <c r="C8" s="54"/>
      <c r="D8" s="54"/>
      <c r="E8" s="54"/>
      <c r="F8" s="19"/>
      <c r="G8" s="1"/>
    </row>
    <row r="9" spans="1:7" ht="17.25" customHeight="1" x14ac:dyDescent="0.35">
      <c r="A9" s="1"/>
      <c r="B9" s="72" t="s">
        <v>15</v>
      </c>
      <c r="C9" s="72" t="s">
        <v>10</v>
      </c>
      <c r="D9" s="73"/>
      <c r="E9" s="72" t="s">
        <v>27</v>
      </c>
      <c r="F9" s="30"/>
      <c r="G9" s="1"/>
    </row>
    <row r="10" spans="1:7" x14ac:dyDescent="0.35">
      <c r="A10" s="1"/>
      <c r="B10" s="23" t="s">
        <v>161</v>
      </c>
      <c r="C10" s="21">
        <f>'Fane 9. Anlægsprojekter (§ 19) '!H11</f>
        <v>0</v>
      </c>
      <c r="D10" s="14" t="s">
        <v>3</v>
      </c>
      <c r="E10" s="9">
        <f>'Fane 9. Anlægsprojekter (§ 19) '!F11+'Fane 9. Anlægsprojekter (§ 19) '!J11</f>
        <v>0</v>
      </c>
      <c r="F10" s="14" t="s">
        <v>3</v>
      </c>
      <c r="G10" s="1"/>
    </row>
    <row r="11" spans="1:7" x14ac:dyDescent="0.35">
      <c r="A11" s="1"/>
      <c r="B11" s="27" t="s">
        <v>244</v>
      </c>
      <c r="C11" s="21">
        <v>38148</v>
      </c>
      <c r="D11" s="14" t="s">
        <v>3</v>
      </c>
      <c r="E11" s="9"/>
      <c r="F11" s="14" t="s">
        <v>3</v>
      </c>
      <c r="G11" s="1"/>
    </row>
    <row r="12" spans="1:7" x14ac:dyDescent="0.35">
      <c r="A12" s="1"/>
      <c r="B12" s="27"/>
      <c r="C12" s="21"/>
      <c r="D12" s="14" t="s">
        <v>3</v>
      </c>
      <c r="E12" s="9"/>
      <c r="F12" s="14" t="s">
        <v>3</v>
      </c>
      <c r="G12" s="1"/>
    </row>
    <row r="13" spans="1:7" x14ac:dyDescent="0.35">
      <c r="A13" s="1"/>
      <c r="B13" s="27"/>
      <c r="C13" s="21"/>
      <c r="D13" s="14" t="s">
        <v>3</v>
      </c>
      <c r="E13" s="9"/>
      <c r="F13" s="14" t="s">
        <v>3</v>
      </c>
      <c r="G13" s="1"/>
    </row>
    <row r="14" spans="1:7" x14ac:dyDescent="0.35">
      <c r="A14" s="1"/>
      <c r="B14" s="27"/>
      <c r="C14" s="21"/>
      <c r="D14" s="14" t="s">
        <v>3</v>
      </c>
      <c r="E14" s="9"/>
      <c r="F14" s="14" t="s">
        <v>3</v>
      </c>
      <c r="G14" s="1"/>
    </row>
    <row r="15" spans="1:7" x14ac:dyDescent="0.35">
      <c r="A15" s="1"/>
      <c r="B15" s="27"/>
      <c r="C15" s="21"/>
      <c r="D15" s="14" t="s">
        <v>3</v>
      </c>
      <c r="E15" s="9"/>
      <c r="F15" s="14" t="s">
        <v>3</v>
      </c>
      <c r="G15" s="1"/>
    </row>
    <row r="16" spans="1:7" x14ac:dyDescent="0.35">
      <c r="A16" s="1"/>
      <c r="B16" s="27"/>
      <c r="C16" s="21"/>
      <c r="D16" s="14" t="s">
        <v>3</v>
      </c>
      <c r="E16" s="9"/>
      <c r="F16" s="14" t="s">
        <v>3</v>
      </c>
      <c r="G16" s="1"/>
    </row>
    <row r="17" spans="1:7" x14ac:dyDescent="0.35">
      <c r="A17" s="1"/>
      <c r="B17" s="53" t="s">
        <v>151</v>
      </c>
      <c r="C17" s="12">
        <f>SUM(C10:C16)</f>
        <v>38148</v>
      </c>
      <c r="D17" s="13" t="s">
        <v>3</v>
      </c>
      <c r="E17" s="12">
        <f>SUM(E10:E16)</f>
        <v>0</v>
      </c>
      <c r="F17" s="13" t="s">
        <v>3</v>
      </c>
      <c r="G17" s="1"/>
    </row>
    <row r="18" spans="1:7" x14ac:dyDescent="0.35">
      <c r="A18" s="1"/>
      <c r="B18" s="53" t="s">
        <v>209</v>
      </c>
      <c r="C18" s="12">
        <f>C17*(1+'Fane 13. Nøgletal'!C16)</f>
        <v>41230.358399999997</v>
      </c>
      <c r="D18" s="13" t="s">
        <v>3</v>
      </c>
      <c r="E18" s="12">
        <f>E17*(1+'Fane 13. Nøgletal'!C16)</f>
        <v>0</v>
      </c>
      <c r="F18" s="13" t="s">
        <v>3</v>
      </c>
      <c r="G18" s="1"/>
    </row>
    <row r="19" spans="1:7" x14ac:dyDescent="0.35">
      <c r="A19" s="1"/>
      <c r="B19" s="1"/>
      <c r="C19" s="1" t="s">
        <v>168</v>
      </c>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row r="54" spans="1:7" x14ac:dyDescent="0.35">
      <c r="A54" s="44"/>
      <c r="B54" s="44"/>
      <c r="C54" s="44"/>
      <c r="D54" s="44"/>
      <c r="E54" s="44"/>
      <c r="F54" s="44"/>
      <c r="G54" s="44"/>
    </row>
    <row r="55" spans="1:7" x14ac:dyDescent="0.35">
      <c r="A55" s="44"/>
      <c r="B55" s="44"/>
      <c r="C55" s="44"/>
      <c r="D55" s="44"/>
      <c r="E55" s="44"/>
      <c r="F55" s="44"/>
      <c r="G55" s="44"/>
    </row>
    <row r="56" spans="1:7" x14ac:dyDescent="0.35">
      <c r="A56" s="44"/>
      <c r="B56" s="44"/>
      <c r="C56" s="44"/>
      <c r="D56" s="44"/>
      <c r="E56" s="44"/>
      <c r="F56" s="44"/>
      <c r="G56" s="44"/>
    </row>
    <row r="57" spans="1:7" x14ac:dyDescent="0.35">
      <c r="A57" s="44"/>
      <c r="B57" s="44"/>
      <c r="C57" s="44"/>
      <c r="D57" s="44"/>
      <c r="E57" s="44"/>
      <c r="F57" s="44"/>
      <c r="G57" s="44"/>
    </row>
  </sheetData>
  <sheetProtection algorithmName="SHA-512" hashValue="IVkMIGBKIHcLx0Ns5Y/NtT9DIs4/5K2XX3wL9sD7+upxtqGOEZE+Yu9A67gI54qJBBVy9Dzry4M12UAQCAh29Q==" saltValue="pKkI0osXg9ZvAeh0AeFvu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4" t="s">
        <v>179</v>
      </c>
      <c r="C3" s="94"/>
      <c r="D3" s="94"/>
      <c r="E3" s="94"/>
      <c r="F3" s="94"/>
      <c r="G3" s="1"/>
    </row>
    <row r="4" spans="1:7" ht="15" customHeight="1" x14ac:dyDescent="0.35">
      <c r="A4" s="1"/>
      <c r="B4" s="94"/>
      <c r="C4" s="94"/>
      <c r="D4" s="94"/>
      <c r="E4" s="94"/>
      <c r="F4" s="94"/>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04" t="s">
        <v>217</v>
      </c>
      <c r="C9" s="105"/>
      <c r="D9" s="105"/>
      <c r="E9" s="105"/>
      <c r="F9" s="106"/>
      <c r="G9" s="1"/>
    </row>
    <row r="10" spans="1:7" x14ac:dyDescent="0.35">
      <c r="A10" s="1"/>
      <c r="B10" s="72" t="s">
        <v>15</v>
      </c>
      <c r="C10" s="72" t="s">
        <v>10</v>
      </c>
      <c r="D10" s="73"/>
      <c r="E10" s="72" t="s">
        <v>27</v>
      </c>
      <c r="F10" s="30"/>
      <c r="G10" s="1"/>
    </row>
    <row r="11" spans="1:7" x14ac:dyDescent="0.35">
      <c r="A11" s="1"/>
      <c r="B11" s="23" t="s">
        <v>243</v>
      </c>
      <c r="C11" s="21"/>
      <c r="D11" s="14" t="s">
        <v>3</v>
      </c>
      <c r="E11" s="9"/>
      <c r="F11" s="14" t="s">
        <v>3</v>
      </c>
      <c r="G11" s="1"/>
    </row>
    <row r="12" spans="1:7" x14ac:dyDescent="0.35">
      <c r="A12" s="1"/>
      <c r="B12" s="23" t="s">
        <v>244</v>
      </c>
      <c r="C12" s="21">
        <v>190740</v>
      </c>
      <c r="D12" s="14" t="s">
        <v>3</v>
      </c>
      <c r="E12" s="9"/>
      <c r="F12" s="14" t="s">
        <v>3</v>
      </c>
      <c r="G12" s="1"/>
    </row>
    <row r="13" spans="1:7" x14ac:dyDescent="0.35">
      <c r="A13" s="1"/>
      <c r="B13" s="23"/>
      <c r="C13" s="21"/>
      <c r="D13" s="14" t="s">
        <v>3</v>
      </c>
      <c r="E13" s="9"/>
      <c r="F13" s="14" t="s">
        <v>3</v>
      </c>
      <c r="G13" s="1"/>
    </row>
    <row r="14" spans="1:7" x14ac:dyDescent="0.35">
      <c r="A14" s="1"/>
      <c r="B14" s="53" t="s">
        <v>218</v>
      </c>
      <c r="C14" s="12">
        <f>SUM(C11:C13)</f>
        <v>190740</v>
      </c>
      <c r="D14" s="13" t="s">
        <v>3</v>
      </c>
      <c r="E14" s="12">
        <f>SUM(E11:E13)</f>
        <v>0</v>
      </c>
      <c r="F14" s="13" t="s">
        <v>3</v>
      </c>
      <c r="G14" s="1"/>
    </row>
    <row r="15" spans="1:7" x14ac:dyDescent="0.35">
      <c r="A15" s="1"/>
      <c r="B15" s="53" t="s">
        <v>219</v>
      </c>
      <c r="C15" s="12">
        <f>C14*(1+'Fane 13. Nøgletal'!$C$16)^2</f>
        <v>222808.85679359999</v>
      </c>
      <c r="D15" s="13" t="s">
        <v>3</v>
      </c>
      <c r="E15" s="12">
        <f>E14*(1+'Fane 13. Nøgletal'!$C$16)^2</f>
        <v>0</v>
      </c>
      <c r="F15" s="13" t="s">
        <v>3</v>
      </c>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ht="18" customHeight="1"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oY1c0ecXDcflinJmD7h0pZ4agHvb2xT0Gy/v2Qwkl9ZJ+bQ3zvVfq61+Ty0LaptCrczOkfHc9/KXjDP3n0G9nA==" saltValue="A2OmZBwmSaxomrUBMAVgw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81640625" style="2" customWidth="1"/>
    <col min="4" max="4" width="3.26953125" style="2" customWidth="1"/>
    <col min="5" max="5" width="13.816406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7" t="s">
        <v>180</v>
      </c>
      <c r="C3" s="97"/>
      <c r="D3" s="97"/>
      <c r="E3" s="97"/>
      <c r="F3" s="97"/>
      <c r="G3" s="1"/>
    </row>
    <row r="4" spans="1:7" ht="25.5" customHeight="1" x14ac:dyDescent="0.35">
      <c r="A4" s="1"/>
      <c r="B4" s="97"/>
      <c r="C4" s="97"/>
      <c r="D4" s="97"/>
      <c r="E4" s="97"/>
      <c r="F4" s="9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04" t="s">
        <v>104</v>
      </c>
      <c r="C8" s="105"/>
      <c r="D8" s="105"/>
      <c r="E8" s="105"/>
      <c r="F8" s="106"/>
      <c r="G8" s="1"/>
    </row>
    <row r="9" spans="1:7" ht="15" customHeight="1" x14ac:dyDescent="0.35">
      <c r="A9" s="1"/>
      <c r="B9" s="55" t="s">
        <v>105</v>
      </c>
      <c r="C9" s="129" t="s">
        <v>10</v>
      </c>
      <c r="D9" s="131"/>
      <c r="E9" s="129" t="s">
        <v>27</v>
      </c>
      <c r="F9" s="131"/>
      <c r="G9" s="1"/>
    </row>
    <row r="10" spans="1:7" x14ac:dyDescent="0.35">
      <c r="A10" s="1"/>
      <c r="B10" s="57" t="s">
        <v>241</v>
      </c>
      <c r="C10" s="9">
        <v>0</v>
      </c>
      <c r="D10" s="14" t="s">
        <v>3</v>
      </c>
      <c r="E10" s="9">
        <v>0</v>
      </c>
      <c r="F10" s="14" t="s">
        <v>3</v>
      </c>
      <c r="G10" s="1"/>
    </row>
    <row r="11" spans="1:7" x14ac:dyDescent="0.35">
      <c r="A11" s="1"/>
      <c r="B11" s="23"/>
      <c r="C11" s="9"/>
      <c r="D11" s="14" t="s">
        <v>3</v>
      </c>
      <c r="E11" s="9"/>
      <c r="F11" s="14" t="s">
        <v>3</v>
      </c>
      <c r="G11" s="1"/>
    </row>
    <row r="12" spans="1:7" x14ac:dyDescent="0.35">
      <c r="A12" s="1"/>
      <c r="B12" s="23"/>
      <c r="C12" s="9"/>
      <c r="D12" s="14" t="s">
        <v>3</v>
      </c>
      <c r="E12" s="9"/>
      <c r="F12" s="14" t="s">
        <v>3</v>
      </c>
      <c r="G12" s="1"/>
    </row>
    <row r="13" spans="1:7" ht="28.5" customHeight="1" x14ac:dyDescent="0.35">
      <c r="A13" s="1"/>
      <c r="B13" s="20" t="s">
        <v>152</v>
      </c>
      <c r="C13" s="12">
        <f>SUM(C10:C12)</f>
        <v>0</v>
      </c>
      <c r="D13" s="13" t="s">
        <v>3</v>
      </c>
      <c r="E13" s="12">
        <f>SUM(E10:E12)</f>
        <v>0</v>
      </c>
      <c r="F13" s="13" t="s">
        <v>3</v>
      </c>
      <c r="G13" s="1"/>
    </row>
    <row r="14" spans="1:7" ht="27" customHeight="1" x14ac:dyDescent="0.35">
      <c r="A14" s="1"/>
      <c r="B14" s="20" t="s">
        <v>216</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sheetData>
  <sheetProtection algorithmName="SHA-512" hashValue="+OQ1ljkaBGI51RD4kg63dxUerkno+MnDVCUdLy8vFLL7SCI+QOynjIlQVdyWdhvv4YBZi6TH7hnXtKOdCh81EA==" saltValue="JPtG5DaHtws5aDToQ0VJ5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26953125" style="2" customWidth="1"/>
    <col min="3" max="3" width="17.1796875" style="2" customWidth="1"/>
    <col min="4" max="4" width="3.26953125" style="2" customWidth="1"/>
    <col min="5" max="5" width="17.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7" t="s">
        <v>181</v>
      </c>
      <c r="C3" s="97"/>
      <c r="D3" s="97"/>
      <c r="E3" s="97"/>
      <c r="F3" s="97"/>
      <c r="G3" s="1"/>
    </row>
    <row r="4" spans="1:7" ht="25.5" customHeight="1" x14ac:dyDescent="0.35">
      <c r="A4" s="1"/>
      <c r="B4" s="97"/>
      <c r="C4" s="97"/>
      <c r="D4" s="97"/>
      <c r="E4" s="97"/>
      <c r="F4" s="9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
      <c r="C9" s="1"/>
      <c r="D9" s="1"/>
      <c r="E9" s="1"/>
      <c r="F9" s="1"/>
      <c r="G9" s="1"/>
    </row>
    <row r="10" spans="1:7" x14ac:dyDescent="0.35">
      <c r="A10" s="1"/>
      <c r="B10" s="104" t="s">
        <v>237</v>
      </c>
      <c r="C10" s="105"/>
      <c r="D10" s="105"/>
      <c r="E10" s="105"/>
      <c r="F10" s="106"/>
      <c r="G10" s="1"/>
    </row>
    <row r="11" spans="1:7" x14ac:dyDescent="0.35">
      <c r="A11" s="1"/>
      <c r="B11" s="55" t="s">
        <v>16</v>
      </c>
      <c r="C11" s="55" t="s">
        <v>10</v>
      </c>
      <c r="D11" s="30"/>
      <c r="E11" s="55" t="s">
        <v>27</v>
      </c>
      <c r="F11" s="30"/>
      <c r="G11" s="1"/>
    </row>
    <row r="12" spans="1:7" x14ac:dyDescent="0.35">
      <c r="A12" s="1"/>
      <c r="B12" s="57" t="s">
        <v>242</v>
      </c>
      <c r="C12" s="9">
        <v>0</v>
      </c>
      <c r="D12" s="14" t="s">
        <v>3</v>
      </c>
      <c r="E12" s="9">
        <v>0</v>
      </c>
      <c r="F12" s="14" t="s">
        <v>3</v>
      </c>
      <c r="G12" s="1"/>
    </row>
    <row r="13" spans="1:7" x14ac:dyDescent="0.35">
      <c r="A13" s="1"/>
      <c r="B13" s="53" t="s">
        <v>78</v>
      </c>
      <c r="C13" s="12">
        <f>SUM(C12:C12)</f>
        <v>0</v>
      </c>
      <c r="D13" s="13" t="s">
        <v>3</v>
      </c>
      <c r="E13" s="12">
        <f>SUM(E12:E12)</f>
        <v>0</v>
      </c>
      <c r="F13" s="13" t="s">
        <v>3</v>
      </c>
      <c r="G13" s="1"/>
    </row>
    <row r="14" spans="1:7" x14ac:dyDescent="0.35">
      <c r="A14" s="1"/>
      <c r="B14" s="53" t="s">
        <v>233</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eQUoXBrkY3Yt1SR1ypRhI/WaElZwAhwBOmapGgyKNn3XD7tuXgCUKdEvEcT0obAa44xfhaIiLdDuhWF/QCfe+Q==" saltValue="xPYyJw7Ysi+vMnaQy79Tl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796875" defaultRowHeight="14.5" x14ac:dyDescent="0.35"/>
  <cols>
    <col min="1" max="1" width="9" style="2" customWidth="1"/>
    <col min="2" max="2" width="56.26953125" style="2" customWidth="1"/>
    <col min="3" max="3" width="6.7265625" style="43" customWidth="1"/>
    <col min="4" max="4" width="9" style="2" customWidth="1"/>
    <col min="5" max="16384" width="9.1796875" style="2"/>
  </cols>
  <sheetData>
    <row r="1" spans="1:4" x14ac:dyDescent="0.35">
      <c r="A1" s="1"/>
      <c r="B1" s="1"/>
      <c r="C1" s="38"/>
      <c r="D1" s="1"/>
    </row>
    <row r="2" spans="1:4" x14ac:dyDescent="0.35">
      <c r="A2" s="1"/>
      <c r="B2" s="1"/>
      <c r="C2" s="38"/>
      <c r="D2" s="1"/>
    </row>
    <row r="3" spans="1:4" ht="15" customHeight="1" x14ac:dyDescent="0.35">
      <c r="A3" s="1"/>
      <c r="B3" s="97" t="s">
        <v>182</v>
      </c>
      <c r="C3" s="97"/>
      <c r="D3" s="1"/>
    </row>
    <row r="4" spans="1:4" ht="25.5" customHeight="1" x14ac:dyDescent="0.35">
      <c r="A4" s="1"/>
      <c r="B4" s="97"/>
      <c r="C4" s="97"/>
      <c r="D4" s="1"/>
    </row>
    <row r="5" spans="1:4" x14ac:dyDescent="0.35">
      <c r="A5" s="1"/>
      <c r="B5" s="1"/>
      <c r="C5" s="38"/>
      <c r="D5" s="1"/>
    </row>
    <row r="6" spans="1:4" x14ac:dyDescent="0.35">
      <c r="A6" s="1"/>
      <c r="B6" s="1"/>
      <c r="C6" s="38"/>
      <c r="D6" s="1"/>
    </row>
    <row r="7" spans="1:4" x14ac:dyDescent="0.35">
      <c r="A7" s="1"/>
      <c r="B7" s="1"/>
      <c r="C7" s="38"/>
      <c r="D7" s="1"/>
    </row>
    <row r="8" spans="1:4" x14ac:dyDescent="0.35">
      <c r="A8" s="1"/>
      <c r="B8" s="53" t="s">
        <v>13</v>
      </c>
      <c r="C8" s="39"/>
      <c r="D8" s="1"/>
    </row>
    <row r="9" spans="1:4" x14ac:dyDescent="0.35">
      <c r="A9" s="1"/>
      <c r="B9" s="67" t="s">
        <v>93</v>
      </c>
      <c r="C9" s="40">
        <v>1.2699999999999999E-2</v>
      </c>
      <c r="D9" s="1"/>
    </row>
    <row r="10" spans="1:4" x14ac:dyDescent="0.35">
      <c r="A10" s="1"/>
      <c r="B10" s="67" t="s">
        <v>21</v>
      </c>
      <c r="C10" s="40">
        <v>1.7500000000000002E-2</v>
      </c>
      <c r="D10" s="1"/>
    </row>
    <row r="11" spans="1:4" x14ac:dyDescent="0.35">
      <c r="A11" s="1"/>
      <c r="B11" s="67" t="s">
        <v>94</v>
      </c>
      <c r="C11" s="40">
        <v>1.6899999999999998E-2</v>
      </c>
      <c r="D11" s="1"/>
    </row>
    <row r="12" spans="1:4" x14ac:dyDescent="0.35">
      <c r="A12" s="1"/>
      <c r="B12" s="25" t="s">
        <v>35</v>
      </c>
      <c r="C12" s="41">
        <v>1.9699999999999999E-2</v>
      </c>
      <c r="D12" s="1"/>
    </row>
    <row r="13" spans="1:4" x14ac:dyDescent="0.35">
      <c r="A13" s="1"/>
      <c r="B13" s="25" t="s">
        <v>110</v>
      </c>
      <c r="C13" s="41">
        <v>1.2200000000000001E-2</v>
      </c>
      <c r="D13" s="1"/>
    </row>
    <row r="14" spans="1:4" x14ac:dyDescent="0.35">
      <c r="A14" s="1"/>
      <c r="B14" s="25" t="s">
        <v>136</v>
      </c>
      <c r="C14" s="42">
        <v>3.3E-3</v>
      </c>
      <c r="D14" s="1"/>
    </row>
    <row r="15" spans="1:4" x14ac:dyDescent="0.35">
      <c r="A15" s="1"/>
      <c r="B15" s="25" t="s">
        <v>153</v>
      </c>
      <c r="C15" s="42">
        <v>3.56E-2</v>
      </c>
      <c r="D15" s="1"/>
    </row>
    <row r="16" spans="1:4" x14ac:dyDescent="0.35">
      <c r="A16" s="1"/>
      <c r="B16" s="51" t="s">
        <v>207</v>
      </c>
      <c r="C16" s="42">
        <v>8.0799999999999997E-2</v>
      </c>
      <c r="D16" s="1"/>
    </row>
    <row r="17" spans="1:4" x14ac:dyDescent="0.35">
      <c r="A17" s="1"/>
      <c r="B17" s="104"/>
      <c r="C17" s="106"/>
      <c r="D17" s="1"/>
    </row>
    <row r="18" spans="1:4" x14ac:dyDescent="0.35">
      <c r="A18" s="1"/>
      <c r="B18" s="1"/>
      <c r="C18" s="38"/>
      <c r="D18" s="1"/>
    </row>
    <row r="19" spans="1:4" x14ac:dyDescent="0.35">
      <c r="A19" s="1"/>
      <c r="B19" s="1"/>
      <c r="C19" s="38"/>
      <c r="D19" s="1"/>
    </row>
    <row r="20" spans="1:4" x14ac:dyDescent="0.35">
      <c r="A20" s="1"/>
      <c r="B20" s="53" t="s">
        <v>81</v>
      </c>
      <c r="C20" s="39"/>
      <c r="D20" s="1"/>
    </row>
    <row r="21" spans="1:4" x14ac:dyDescent="0.35">
      <c r="A21" s="1"/>
      <c r="B21" s="67" t="s">
        <v>95</v>
      </c>
      <c r="C21" s="42">
        <v>9.1000000000000004E-3</v>
      </c>
      <c r="D21" s="1"/>
    </row>
    <row r="22" spans="1:4" x14ac:dyDescent="0.35">
      <c r="A22" s="1"/>
      <c r="B22" s="67" t="s">
        <v>96</v>
      </c>
      <c r="C22" s="42">
        <v>1.77E-2</v>
      </c>
      <c r="D22" s="1"/>
    </row>
    <row r="23" spans="1:4" x14ac:dyDescent="0.35">
      <c r="A23" s="1"/>
      <c r="B23" s="67" t="s">
        <v>97</v>
      </c>
      <c r="C23" s="42">
        <v>8.6999999999999994E-3</v>
      </c>
      <c r="D23" s="1"/>
    </row>
    <row r="24" spans="1:4" x14ac:dyDescent="0.35">
      <c r="A24" s="1"/>
      <c r="B24" s="67" t="s">
        <v>98</v>
      </c>
      <c r="C24" s="42">
        <v>2.8400000000000002E-2</v>
      </c>
      <c r="D24" s="1"/>
    </row>
    <row r="25" spans="1:4" x14ac:dyDescent="0.35">
      <c r="A25" s="1"/>
      <c r="B25" s="67" t="s">
        <v>111</v>
      </c>
      <c r="C25" s="42">
        <v>2.75E-2</v>
      </c>
      <c r="D25" s="1"/>
    </row>
    <row r="26" spans="1:4" x14ac:dyDescent="0.35">
      <c r="A26" s="1"/>
      <c r="B26" s="67" t="s">
        <v>137</v>
      </c>
      <c r="C26" s="42">
        <v>1.4800000000000001E-2</v>
      </c>
      <c r="D26" s="1"/>
    </row>
    <row r="27" spans="1:4" x14ac:dyDescent="0.35">
      <c r="A27" s="1"/>
      <c r="B27" s="25" t="s">
        <v>154</v>
      </c>
      <c r="C27" s="42">
        <v>0</v>
      </c>
      <c r="D27" s="1"/>
    </row>
    <row r="28" spans="1:4" x14ac:dyDescent="0.35">
      <c r="A28" s="1"/>
      <c r="B28" s="51" t="s">
        <v>208</v>
      </c>
      <c r="C28" s="42">
        <v>0</v>
      </c>
      <c r="D28" s="1"/>
    </row>
    <row r="29" spans="1:4" x14ac:dyDescent="0.35">
      <c r="A29" s="1"/>
      <c r="B29" s="53"/>
      <c r="C29" s="39"/>
      <c r="D29" s="1"/>
    </row>
    <row r="30" spans="1:4" x14ac:dyDescent="0.35">
      <c r="A30" s="1"/>
      <c r="B30" s="1"/>
      <c r="C30" s="38"/>
      <c r="D30" s="1"/>
    </row>
    <row r="31" spans="1:4" x14ac:dyDescent="0.35">
      <c r="A31" s="1"/>
      <c r="B31" s="1"/>
      <c r="C31" s="38"/>
      <c r="D31" s="1"/>
    </row>
    <row r="32" spans="1:4" x14ac:dyDescent="0.35">
      <c r="A32" s="1"/>
      <c r="B32" s="53" t="s">
        <v>82</v>
      </c>
      <c r="C32" s="39"/>
      <c r="D32" s="1"/>
    </row>
    <row r="33" spans="1:4" x14ac:dyDescent="0.35">
      <c r="A33" s="1"/>
      <c r="B33" s="67" t="s">
        <v>99</v>
      </c>
      <c r="C33" s="40">
        <v>0.02</v>
      </c>
      <c r="D33" s="1"/>
    </row>
    <row r="34" spans="1:4" x14ac:dyDescent="0.35">
      <c r="A34" s="1"/>
      <c r="B34" s="53"/>
      <c r="C34" s="39"/>
      <c r="D34" s="1"/>
    </row>
    <row r="35" spans="1:4" x14ac:dyDescent="0.35">
      <c r="A35" s="1"/>
      <c r="B35" s="1"/>
      <c r="C35" s="38"/>
      <c r="D35" s="1"/>
    </row>
    <row r="36" spans="1:4" x14ac:dyDescent="0.35">
      <c r="A36" s="1"/>
      <c r="B36" s="1"/>
      <c r="C36" s="38"/>
      <c r="D36" s="1"/>
    </row>
    <row r="37" spans="1:4" x14ac:dyDescent="0.35">
      <c r="A37" s="1"/>
      <c r="B37" s="1"/>
      <c r="C37" s="38"/>
      <c r="D37" s="1"/>
    </row>
    <row r="38" spans="1:4" x14ac:dyDescent="0.35">
      <c r="A38" s="1"/>
      <c r="B38" s="1"/>
      <c r="C38" s="38"/>
      <c r="D38" s="1"/>
    </row>
    <row r="39" spans="1:4" x14ac:dyDescent="0.35">
      <c r="A39" s="1"/>
      <c r="B39" s="1"/>
      <c r="C39" s="38"/>
      <c r="D39" s="1"/>
    </row>
    <row r="40" spans="1:4" x14ac:dyDescent="0.35">
      <c r="A40" s="1"/>
      <c r="B40" s="1"/>
      <c r="C40" s="38"/>
      <c r="D40" s="1"/>
    </row>
    <row r="41" spans="1:4" x14ac:dyDescent="0.35">
      <c r="A41" s="1"/>
      <c r="B41" s="1"/>
      <c r="C41" s="38"/>
      <c r="D41" s="1"/>
    </row>
    <row r="42" spans="1:4" x14ac:dyDescent="0.35">
      <c r="A42" s="1"/>
      <c r="B42" s="1"/>
      <c r="C42" s="38"/>
      <c r="D42" s="1"/>
    </row>
    <row r="43" spans="1:4" x14ac:dyDescent="0.35">
      <c r="A43" s="1"/>
      <c r="B43" s="1"/>
      <c r="C43" s="38"/>
      <c r="D43" s="1"/>
    </row>
    <row r="44" spans="1:4" x14ac:dyDescent="0.35">
      <c r="A44" s="1"/>
      <c r="B44" s="1"/>
      <c r="C44" s="38"/>
      <c r="D44" s="1"/>
    </row>
    <row r="45" spans="1:4" x14ac:dyDescent="0.35">
      <c r="A45" s="1"/>
      <c r="B45" s="1"/>
      <c r="C45" s="38"/>
      <c r="D45" s="1"/>
    </row>
    <row r="46" spans="1:4" x14ac:dyDescent="0.35">
      <c r="A46" s="1"/>
      <c r="B46" s="1"/>
      <c r="C46" s="38"/>
      <c r="D46" s="1"/>
    </row>
    <row r="47" spans="1:4" x14ac:dyDescent="0.35">
      <c r="A47" s="1"/>
      <c r="B47" s="1"/>
      <c r="C47" s="38"/>
      <c r="D47" s="1"/>
    </row>
    <row r="48" spans="1:4" x14ac:dyDescent="0.35">
      <c r="A48" s="1"/>
      <c r="B48" s="1"/>
      <c r="C48" s="38"/>
      <c r="D48" s="1"/>
    </row>
    <row r="49" spans="1:4" x14ac:dyDescent="0.35">
      <c r="A49" s="1"/>
      <c r="B49" s="1"/>
      <c r="C49" s="38"/>
      <c r="D49" s="1"/>
    </row>
    <row r="50" spans="1:4" x14ac:dyDescent="0.35">
      <c r="A50" s="44"/>
      <c r="B50" s="44"/>
      <c r="C50" s="46"/>
      <c r="D50" s="44"/>
    </row>
    <row r="51" spans="1:4" x14ac:dyDescent="0.35">
      <c r="A51" s="44"/>
      <c r="B51" s="44"/>
      <c r="C51" s="46"/>
      <c r="D51" s="44"/>
    </row>
    <row r="52" spans="1:4" x14ac:dyDescent="0.35">
      <c r="A52" s="44"/>
      <c r="B52" s="44"/>
      <c r="C52" s="46"/>
      <c r="D52" s="44"/>
    </row>
    <row r="53" spans="1:4" x14ac:dyDescent="0.35">
      <c r="A53" s="44"/>
      <c r="B53" s="44"/>
      <c r="C53" s="46"/>
      <c r="D53" s="44"/>
    </row>
  </sheetData>
  <sheetProtection algorithmName="SHA-512" hashValue="pgGuxa8Dzgh98QfXRRu62j2A+7JUwagmiDNmAyZGVdgwcD4Ryn5gfTmaObCrwA2AIFpW+fq+pCQ8LCn84TRWLA==" saltValue="qNeHw2nhj0JWO/XG2RP2F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198</v>
      </c>
      <c r="C3" s="94"/>
      <c r="D3" s="94"/>
      <c r="E3" s="1"/>
    </row>
    <row r="4" spans="1:5" ht="15" customHeight="1" x14ac:dyDescent="0.35">
      <c r="A4" s="1"/>
      <c r="B4" s="94"/>
      <c r="C4" s="94"/>
      <c r="D4" s="94"/>
      <c r="E4" s="1"/>
    </row>
    <row r="5" spans="1:5" x14ac:dyDescent="0.35">
      <c r="A5" s="1"/>
      <c r="B5" s="1"/>
      <c r="C5" s="1"/>
      <c r="D5" s="1"/>
      <c r="E5" s="1"/>
    </row>
    <row r="6" spans="1:5" x14ac:dyDescent="0.35">
      <c r="A6" s="1"/>
      <c r="B6" s="1"/>
      <c r="C6" s="1"/>
      <c r="D6" s="1"/>
      <c r="E6" s="1"/>
    </row>
    <row r="7" spans="1:5" x14ac:dyDescent="0.35">
      <c r="A7" s="1"/>
      <c r="B7" s="53" t="s">
        <v>12</v>
      </c>
      <c r="C7" s="54"/>
      <c r="D7" s="19"/>
      <c r="E7" s="1"/>
    </row>
    <row r="8" spans="1:5" x14ac:dyDescent="0.35">
      <c r="A8" s="1"/>
      <c r="B8" s="56" t="s">
        <v>109</v>
      </c>
      <c r="C8" s="7">
        <f>'Fane 3. Omkostninger i ØR2023'!C19</f>
        <v>20665350.167946067</v>
      </c>
      <c r="D8" s="8" t="s">
        <v>3</v>
      </c>
      <c r="E8" s="1"/>
    </row>
    <row r="9" spans="1:5" ht="17.149999999999999" customHeight="1" x14ac:dyDescent="0.35">
      <c r="A9" s="1"/>
      <c r="B9" s="24" t="s">
        <v>33</v>
      </c>
      <c r="C9" s="7">
        <f>'Fane 10.1. Varige tillæg'!C18</f>
        <v>41230.358399999997</v>
      </c>
      <c r="D9" s="8" t="s">
        <v>3</v>
      </c>
      <c r="E9" s="1"/>
    </row>
    <row r="10" spans="1:5" ht="17.149999999999999" customHeight="1" x14ac:dyDescent="0.35">
      <c r="A10" s="1"/>
      <c r="B10" s="24" t="s">
        <v>34</v>
      </c>
      <c r="C10" s="9">
        <f>'Fane 10.1. Varige tillæg'!E18</f>
        <v>0</v>
      </c>
      <c r="D10" s="8" t="s">
        <v>3</v>
      </c>
      <c r="E10" s="1"/>
    </row>
    <row r="11" spans="1:5" ht="17.149999999999999" customHeight="1" x14ac:dyDescent="0.35">
      <c r="A11" s="1"/>
      <c r="B11" s="24" t="s">
        <v>25</v>
      </c>
      <c r="C11" s="9">
        <f>-'Fane 12. Bortfald'!C14</f>
        <v>0</v>
      </c>
      <c r="D11" s="8" t="s">
        <v>3</v>
      </c>
      <c r="E11" s="1"/>
    </row>
    <row r="12" spans="1:5" ht="17.149999999999999" customHeight="1" x14ac:dyDescent="0.35">
      <c r="A12" s="1"/>
      <c r="B12" s="24" t="s">
        <v>24</v>
      </c>
      <c r="C12" s="9">
        <f>-'Fane 12. Bortfald'!E14</f>
        <v>0</v>
      </c>
      <c r="D12" s="8" t="s">
        <v>3</v>
      </c>
      <c r="E12" s="1"/>
    </row>
    <row r="13" spans="1:5" ht="17.149999999999999" customHeight="1" x14ac:dyDescent="0.35">
      <c r="A13" s="1"/>
      <c r="B13" s="24" t="s">
        <v>106</v>
      </c>
      <c r="C13" s="9">
        <f>'Fane 11. Tilknyttet virksomhed'!C14</f>
        <v>0</v>
      </c>
      <c r="D13" s="8" t="s">
        <v>3</v>
      </c>
      <c r="E13" s="1"/>
    </row>
    <row r="14" spans="1:5" ht="17.149999999999999" customHeight="1" x14ac:dyDescent="0.35">
      <c r="A14" s="1"/>
      <c r="B14" s="24" t="s">
        <v>107</v>
      </c>
      <c r="C14" s="9">
        <f>'Fane 11. Tilknyttet virksomhed'!E14</f>
        <v>0</v>
      </c>
      <c r="D14" s="8" t="s">
        <v>3</v>
      </c>
      <c r="E14" s="1"/>
    </row>
    <row r="15" spans="1:5" ht="17.149999999999999" customHeight="1" x14ac:dyDescent="0.35">
      <c r="A15" s="1"/>
      <c r="B15" s="24" t="s">
        <v>17</v>
      </c>
      <c r="C15" s="9">
        <f>C8*'Fane 13. Nøgletal'!C15+SUM(C9:C14)*'Fane 13. Nøgletal'!C16</f>
        <v>739017.87893759995</v>
      </c>
      <c r="D15" s="8" t="s">
        <v>3</v>
      </c>
      <c r="E15" s="1"/>
    </row>
    <row r="16" spans="1:5" ht="17.149999999999999" customHeight="1" x14ac:dyDescent="0.35">
      <c r="A16" s="1"/>
      <c r="B16" s="24" t="s">
        <v>9</v>
      </c>
      <c r="C16" s="9">
        <f>-SUM(C8,C9:C15)*'Fane 5. Individuelt eff. krav'!G9</f>
        <v>-428911.96810567327</v>
      </c>
      <c r="D16" s="8" t="s">
        <v>3</v>
      </c>
      <c r="E16" s="1"/>
    </row>
    <row r="17" spans="1:5" ht="17.149999999999999" customHeight="1" x14ac:dyDescent="0.35">
      <c r="A17" s="1"/>
      <c r="B17" s="24" t="s">
        <v>22</v>
      </c>
      <c r="C17" s="9">
        <f>-'Fane 4.1. Gen. krav - drift'!G49</f>
        <v>-185762.84175166526</v>
      </c>
      <c r="D17" s="8" t="s">
        <v>3</v>
      </c>
      <c r="E17" s="1"/>
    </row>
    <row r="18" spans="1:5" ht="17.149999999999999" customHeight="1" x14ac:dyDescent="0.35">
      <c r="A18" s="1"/>
      <c r="B18" s="24" t="s">
        <v>23</v>
      </c>
      <c r="C18" s="9">
        <f>-'Fane 4.2. Gen. krav - anlæg'!G49</f>
        <v>0</v>
      </c>
      <c r="D18" s="8" t="s">
        <v>3</v>
      </c>
      <c r="E18" s="1"/>
    </row>
    <row r="19" spans="1:5" ht="17.149999999999999" customHeight="1" x14ac:dyDescent="0.35">
      <c r="A19" s="1"/>
      <c r="B19" s="69" t="s">
        <v>19</v>
      </c>
      <c r="C19" s="10">
        <f>SUM(C8:C18)</f>
        <v>20830923.595426325</v>
      </c>
      <c r="D19" s="11" t="s">
        <v>3</v>
      </c>
      <c r="E19" s="1"/>
    </row>
    <row r="20" spans="1:5" ht="15" customHeight="1" x14ac:dyDescent="0.35">
      <c r="A20" s="1"/>
      <c r="B20" s="53" t="s">
        <v>11</v>
      </c>
      <c r="C20" s="54"/>
      <c r="D20" s="19"/>
      <c r="E20" s="1"/>
    </row>
    <row r="21" spans="1:5" ht="15" customHeight="1" x14ac:dyDescent="0.35">
      <c r="A21" s="1"/>
      <c r="B21" s="55" t="s">
        <v>11</v>
      </c>
      <c r="C21" s="10">
        <f>'Fane 6. Ikke-påvirkelige omk.'!C20</f>
        <v>8145302.600288</v>
      </c>
      <c r="D21" s="11" t="s">
        <v>3</v>
      </c>
      <c r="E21" s="1"/>
    </row>
    <row r="22" spans="1:5" ht="15" customHeight="1" x14ac:dyDescent="0.35">
      <c r="A22" s="1"/>
      <c r="B22" s="53" t="s">
        <v>75</v>
      </c>
      <c r="C22" s="54"/>
      <c r="D22" s="19"/>
      <c r="E22" s="1"/>
    </row>
    <row r="23" spans="1:5" ht="15" customHeight="1" x14ac:dyDescent="0.35">
      <c r="A23" s="1"/>
      <c r="B23" s="24" t="s">
        <v>71</v>
      </c>
      <c r="C23" s="9">
        <f>'Fane 10.2. Engangstillæg'!C15</f>
        <v>222808.85679359999</v>
      </c>
      <c r="D23" s="8" t="s">
        <v>3</v>
      </c>
      <c r="E23" s="1"/>
    </row>
    <row r="24" spans="1:5" ht="15" customHeight="1" x14ac:dyDescent="0.35">
      <c r="A24" s="1"/>
      <c r="B24" s="24" t="s">
        <v>72</v>
      </c>
      <c r="C24" s="9">
        <f>'Fane 10.2. Engangstillæg'!E15</f>
        <v>0</v>
      </c>
      <c r="D24" s="8" t="s">
        <v>3</v>
      </c>
      <c r="E24" s="1"/>
    </row>
    <row r="25" spans="1:5" ht="15" customHeight="1" x14ac:dyDescent="0.35">
      <c r="A25" s="1"/>
      <c r="B25" s="24" t="s">
        <v>164</v>
      </c>
      <c r="C25" s="9">
        <f>-C23*('Fane 13. Nøgletal'!C33+'Fane 5. Individuelt eff. krav'!G9)</f>
        <v>-8912.3542717439996</v>
      </c>
      <c r="D25" s="8" t="s">
        <v>3</v>
      </c>
      <c r="E25" s="1"/>
    </row>
    <row r="26" spans="1:5" ht="15" customHeight="1" x14ac:dyDescent="0.35">
      <c r="A26" s="1"/>
      <c r="B26" s="24" t="s">
        <v>165</v>
      </c>
      <c r="C26" s="9">
        <f>-C24*('Fane 13. Nøgletal'!C28+'Fane 5. Individuelt eff. krav'!G9)</f>
        <v>0</v>
      </c>
      <c r="D26" s="8" t="s">
        <v>3</v>
      </c>
      <c r="E26" s="1"/>
    </row>
    <row r="27" spans="1:5" x14ac:dyDescent="0.35">
      <c r="A27" s="1"/>
      <c r="B27" s="69" t="s">
        <v>76</v>
      </c>
      <c r="C27" s="49">
        <f>SUM(C23:C26)</f>
        <v>213896.50252185599</v>
      </c>
      <c r="D27" s="11" t="s">
        <v>3</v>
      </c>
      <c r="E27" s="1"/>
    </row>
    <row r="28" spans="1:5" ht="15" customHeight="1" x14ac:dyDescent="0.35">
      <c r="A28" s="1"/>
      <c r="B28" s="26" t="s">
        <v>117</v>
      </c>
      <c r="C28" s="54"/>
      <c r="D28" s="19"/>
      <c r="E28" s="1"/>
    </row>
    <row r="29" spans="1:5" x14ac:dyDescent="0.35">
      <c r="A29" s="1"/>
      <c r="B29" s="68" t="s">
        <v>118</v>
      </c>
      <c r="C29" s="10">
        <f>'Fane 7. Kontrol af ØR2022'!E27</f>
        <v>448044.23217396252</v>
      </c>
      <c r="D29" s="11" t="s">
        <v>3</v>
      </c>
      <c r="E29" s="1"/>
    </row>
    <row r="30" spans="1:5" x14ac:dyDescent="0.35">
      <c r="A30" s="1"/>
      <c r="B30" s="26" t="s">
        <v>138</v>
      </c>
      <c r="C30" s="54"/>
      <c r="D30" s="19"/>
      <c r="E30" s="1"/>
    </row>
    <row r="31" spans="1:5" x14ac:dyDescent="0.35">
      <c r="A31" s="1"/>
      <c r="B31" s="68" t="s">
        <v>139</v>
      </c>
      <c r="C31" s="10">
        <f>'Fane 8. Skattesagen'!G13</f>
        <v>0</v>
      </c>
      <c r="D31" s="11" t="s">
        <v>3</v>
      </c>
      <c r="E31" s="1"/>
    </row>
    <row r="32" spans="1:5" x14ac:dyDescent="0.35">
      <c r="A32" s="1"/>
      <c r="B32" s="53" t="s">
        <v>126</v>
      </c>
      <c r="C32" s="33">
        <f>SUM(C19,C21,C27,C29,C31)</f>
        <v>29638166.930410147</v>
      </c>
      <c r="D32" s="19" t="s">
        <v>3</v>
      </c>
      <c r="E32" s="1"/>
    </row>
    <row r="33" spans="1:5" x14ac:dyDescent="0.35">
      <c r="A33" s="1"/>
      <c r="B33" s="1" t="s">
        <v>168</v>
      </c>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0qGX59fp22LDDd/FalU55hrq9a79oXPngZiLcNY0NLCtZ05ShXMO/qWJRqgKalsVIX0itru2oB0yY7LrJwUGIA==" saltValue="81Qck2Dr4qQpM5OtH6ob0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62.4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199</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127</v>
      </c>
      <c r="C8" s="7">
        <f>'Fane 2.1. Økonomisk ramme 2024'!C19</f>
        <v>20830923.595426325</v>
      </c>
      <c r="D8" s="8" t="s">
        <v>3</v>
      </c>
      <c r="E8" s="1"/>
    </row>
    <row r="9" spans="1:5" ht="15" customHeight="1" x14ac:dyDescent="0.35">
      <c r="A9" s="1"/>
      <c r="B9" s="29" t="s">
        <v>17</v>
      </c>
      <c r="C9" s="9">
        <f>SUM(C8:C8)*'Fane 13. Nøgletal'!C16</f>
        <v>1683138.6265104469</v>
      </c>
      <c r="D9" s="8" t="s">
        <v>3</v>
      </c>
      <c r="E9" s="1"/>
    </row>
    <row r="10" spans="1:5" ht="15" customHeight="1" x14ac:dyDescent="0.35">
      <c r="A10" s="1"/>
      <c r="B10" s="29" t="s">
        <v>9</v>
      </c>
      <c r="C10" s="9">
        <f>-SUM(C8:C9)*'Fane 5. Individuelt eff. krav'!G9</f>
        <v>-450281.24443873542</v>
      </c>
      <c r="D10" s="8" t="s">
        <v>3</v>
      </c>
      <c r="E10" s="1"/>
    </row>
    <row r="11" spans="1:5" ht="15" customHeight="1" x14ac:dyDescent="0.35">
      <c r="A11" s="1"/>
      <c r="B11" s="29" t="s">
        <v>22</v>
      </c>
      <c r="C11" s="9">
        <f>-'Fane 4.1. Gen. krav - drift'!G54</f>
        <v>-196757.0297778958</v>
      </c>
      <c r="D11" s="8" t="s">
        <v>3</v>
      </c>
      <c r="E11" s="1"/>
    </row>
    <row r="12" spans="1:5" ht="15" customHeight="1" x14ac:dyDescent="0.35">
      <c r="A12" s="1"/>
      <c r="B12" s="29" t="s">
        <v>23</v>
      </c>
      <c r="C12" s="9">
        <f>-'Fane 4.2. Gen. krav - anlæg'!G54</f>
        <v>0</v>
      </c>
      <c r="D12" s="8" t="s">
        <v>3</v>
      </c>
      <c r="E12" s="1"/>
    </row>
    <row r="13" spans="1:5" ht="15" customHeight="1" x14ac:dyDescent="0.35">
      <c r="A13" s="1"/>
      <c r="B13" s="32" t="s">
        <v>19</v>
      </c>
      <c r="C13" s="10">
        <f>SUM(C8:C12)</f>
        <v>21867023.94772014</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f>
        <v>8803443.0503912698</v>
      </c>
      <c r="D15" s="11" t="s">
        <v>3</v>
      </c>
      <c r="E15" s="1"/>
    </row>
    <row r="16" spans="1:5" x14ac:dyDescent="0.35">
      <c r="A16" s="1"/>
      <c r="B16" s="26" t="s">
        <v>117</v>
      </c>
      <c r="C16" s="54"/>
      <c r="D16" s="19"/>
      <c r="E16" s="1"/>
    </row>
    <row r="17" spans="1:5" ht="15" customHeight="1" x14ac:dyDescent="0.35">
      <c r="A17" s="1"/>
      <c r="B17" s="68" t="s">
        <v>118</v>
      </c>
      <c r="C17" s="10">
        <f>'Fane 7. Kontrol af ØR2022'!E33</f>
        <v>0</v>
      </c>
      <c r="D17" s="11" t="s">
        <v>3</v>
      </c>
      <c r="E17" s="1"/>
    </row>
    <row r="18" spans="1:5" x14ac:dyDescent="0.35">
      <c r="A18" s="1"/>
      <c r="B18" s="26" t="s">
        <v>138</v>
      </c>
      <c r="C18" s="54"/>
      <c r="D18" s="19"/>
      <c r="E18" s="1"/>
    </row>
    <row r="19" spans="1:5" x14ac:dyDescent="0.35">
      <c r="A19" s="1"/>
      <c r="B19" s="68" t="s">
        <v>139</v>
      </c>
      <c r="C19" s="10">
        <f>'Fane 8. Skattesagen'!G13</f>
        <v>0</v>
      </c>
      <c r="D19" s="11" t="s">
        <v>3</v>
      </c>
      <c r="E19" s="1"/>
    </row>
    <row r="20" spans="1:5" x14ac:dyDescent="0.35">
      <c r="A20" s="1"/>
      <c r="B20" s="53" t="s">
        <v>128</v>
      </c>
      <c r="C20" s="12">
        <f>SUM(C13,C15,C17,C19)</f>
        <v>30670466.998111412</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PjJRTYI+W19qWfdch51MvQAXCk/XUPOR3DPio+gQKU1T8gm4npp+RW727x+g64UElynBn+n9hMMNbxuDCz7ntQ==" saltValue="fmXQVGhmgyQYmk+3CAT8p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63.269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200</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142</v>
      </c>
      <c r="C8" s="7">
        <f>'Fane 2.2. Økonomisk ramme 2025'!C13</f>
        <v>21867023.94772014</v>
      </c>
      <c r="D8" s="8" t="s">
        <v>3</v>
      </c>
      <c r="E8" s="1"/>
    </row>
    <row r="9" spans="1:5" ht="15" customHeight="1" x14ac:dyDescent="0.35">
      <c r="A9" s="1"/>
      <c r="B9" s="29" t="s">
        <v>17</v>
      </c>
      <c r="C9" s="9">
        <f>SUM(C8:C8)*'Fane 13. Nøgletal'!C16</f>
        <v>1766855.5349757872</v>
      </c>
      <c r="D9" s="8" t="s">
        <v>3</v>
      </c>
      <c r="E9" s="1"/>
    </row>
    <row r="10" spans="1:5" ht="15" customHeight="1" x14ac:dyDescent="0.35">
      <c r="A10" s="1"/>
      <c r="B10" s="29" t="s">
        <v>9</v>
      </c>
      <c r="C10" s="9">
        <f>-SUM(C8:C9)*'Fane 5. Individuelt eff. krav'!G9</f>
        <v>-472677.58965391852</v>
      </c>
      <c r="D10" s="8" t="s">
        <v>3</v>
      </c>
      <c r="E10" s="1"/>
    </row>
    <row r="11" spans="1:5" ht="15" customHeight="1" x14ac:dyDescent="0.35">
      <c r="A11" s="1"/>
      <c r="B11" s="29" t="s">
        <v>22</v>
      </c>
      <c r="C11" s="9">
        <f>-'Fane 4.1. Gen. krav - drift'!G59</f>
        <v>-208401.8978282708</v>
      </c>
      <c r="D11" s="8" t="s">
        <v>3</v>
      </c>
      <c r="E11" s="1"/>
    </row>
    <row r="12" spans="1:5" ht="15" customHeight="1" x14ac:dyDescent="0.35">
      <c r="A12" s="1"/>
      <c r="B12" s="29" t="s">
        <v>23</v>
      </c>
      <c r="C12" s="28">
        <f>-'Fane 4.2. Gen. krav - anlæg'!G59</f>
        <v>0</v>
      </c>
      <c r="D12" s="8" t="s">
        <v>3</v>
      </c>
      <c r="E12" s="1"/>
    </row>
    <row r="13" spans="1:5" x14ac:dyDescent="0.35">
      <c r="A13" s="1"/>
      <c r="B13" s="32" t="s">
        <v>19</v>
      </c>
      <c r="C13" s="10">
        <f>SUM(C8:C12)</f>
        <v>22952799.995213736</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Nøgletal'!C16)^2</f>
        <v>9514761.2488628849</v>
      </c>
      <c r="D15" s="11" t="s">
        <v>3</v>
      </c>
      <c r="E15" s="1"/>
    </row>
    <row r="16" spans="1:5" x14ac:dyDescent="0.35">
      <c r="A16" s="1"/>
      <c r="B16" s="53" t="s">
        <v>117</v>
      </c>
      <c r="C16" s="54"/>
      <c r="D16" s="19"/>
      <c r="E16" s="1"/>
    </row>
    <row r="17" spans="1:5" x14ac:dyDescent="0.35">
      <c r="A17" s="1"/>
      <c r="B17" s="55" t="s">
        <v>118</v>
      </c>
      <c r="C17" s="10">
        <f>'Fane 7. Kontrol af ØR2022'!E33</f>
        <v>0</v>
      </c>
      <c r="D17" s="11" t="s">
        <v>3</v>
      </c>
      <c r="E17" s="1"/>
    </row>
    <row r="18" spans="1:5" ht="15" customHeight="1" x14ac:dyDescent="0.35">
      <c r="A18" s="1"/>
      <c r="B18" s="26" t="s">
        <v>138</v>
      </c>
      <c r="C18" s="54"/>
      <c r="D18" s="19"/>
      <c r="E18" s="1"/>
    </row>
    <row r="19" spans="1:5" ht="15" customHeight="1" x14ac:dyDescent="0.35">
      <c r="A19" s="1"/>
      <c r="B19" s="68" t="s">
        <v>139</v>
      </c>
      <c r="C19" s="10">
        <f>'Fane 8. Skattesagen'!G14</f>
        <v>0</v>
      </c>
      <c r="D19" s="11" t="s">
        <v>3</v>
      </c>
      <c r="E19" s="1"/>
    </row>
    <row r="20" spans="1:5" x14ac:dyDescent="0.35">
      <c r="A20" s="1"/>
      <c r="B20" s="53" t="s">
        <v>143</v>
      </c>
      <c r="C20" s="12">
        <f>SUM(C13,C15,C17,C19)</f>
        <v>32467561.244076621</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JsulztncuBzXdGE6d02VgJke/AN8EGTEhRuJq/68k7fa9ponjRyK34fvfeS+sA/ZTu3gFZ/IbLZ9spN0n/hoMQ==" saltValue="kCnPVGDM6Z1a+08OSmbBg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796875" defaultRowHeight="14.5" x14ac:dyDescent="0.35"/>
  <cols>
    <col min="1" max="1" width="5.1796875" style="2" customWidth="1"/>
    <col min="2" max="2" width="63.179687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4" t="s">
        <v>204</v>
      </c>
      <c r="C3" s="94"/>
      <c r="D3" s="94"/>
      <c r="E3" s="1"/>
    </row>
    <row r="4" spans="1:5" ht="15" customHeight="1" x14ac:dyDescent="0.35">
      <c r="A4" s="1"/>
      <c r="B4" s="94"/>
      <c r="C4" s="94"/>
      <c r="D4" s="94"/>
      <c r="E4" s="1"/>
    </row>
    <row r="5" spans="1:5" x14ac:dyDescent="0.35">
      <c r="A5" s="1"/>
      <c r="B5" s="95" t="s">
        <v>20</v>
      </c>
      <c r="C5" s="95"/>
      <c r="D5" s="95"/>
      <c r="E5" s="1"/>
    </row>
    <row r="6" spans="1:5" x14ac:dyDescent="0.35">
      <c r="A6" s="1"/>
      <c r="B6" s="1"/>
      <c r="C6" s="1"/>
      <c r="D6" s="1"/>
      <c r="E6" s="1"/>
    </row>
    <row r="7" spans="1:5" x14ac:dyDescent="0.35">
      <c r="A7" s="1"/>
      <c r="B7" s="53" t="s">
        <v>12</v>
      </c>
      <c r="C7" s="54"/>
      <c r="D7" s="19"/>
      <c r="E7" s="1"/>
    </row>
    <row r="8" spans="1:5" ht="15" customHeight="1" x14ac:dyDescent="0.35">
      <c r="A8" s="1"/>
      <c r="B8" s="56" t="s">
        <v>203</v>
      </c>
      <c r="C8" s="7">
        <f>'Fane 2.3. Økonomisk ramme 2026'!C13</f>
        <v>22952799.995213736</v>
      </c>
      <c r="D8" s="8" t="s">
        <v>3</v>
      </c>
      <c r="E8" s="1"/>
    </row>
    <row r="9" spans="1:5" ht="15" customHeight="1" x14ac:dyDescent="0.35">
      <c r="A9" s="1"/>
      <c r="B9" s="29" t="s">
        <v>17</v>
      </c>
      <c r="C9" s="9">
        <f>SUM(C8:C8)*'Fane 13. Nøgletal'!C16</f>
        <v>1854586.2396132697</v>
      </c>
      <c r="D9" s="8" t="s">
        <v>3</v>
      </c>
      <c r="E9" s="1"/>
    </row>
    <row r="10" spans="1:5" ht="15" customHeight="1" x14ac:dyDescent="0.35">
      <c r="A10" s="1"/>
      <c r="B10" s="29" t="s">
        <v>9</v>
      </c>
      <c r="C10" s="9">
        <f>-SUM(C8:C9)*'Fane 5. Individuelt eff. krav'!G9</f>
        <v>-496147.7246965401</v>
      </c>
      <c r="D10" s="8" t="s">
        <v>3</v>
      </c>
      <c r="E10" s="1"/>
    </row>
    <row r="11" spans="1:5" ht="15" customHeight="1" x14ac:dyDescent="0.35">
      <c r="A11" s="1"/>
      <c r="B11" s="29" t="s">
        <v>22</v>
      </c>
      <c r="C11" s="9">
        <f>-'Fane 4.1. Gen. krav - drift'!G64</f>
        <v>-220735.95574933916</v>
      </c>
      <c r="D11" s="8" t="s">
        <v>3</v>
      </c>
      <c r="E11" s="1"/>
    </row>
    <row r="12" spans="1:5" ht="15" customHeight="1" x14ac:dyDescent="0.35">
      <c r="A12" s="1"/>
      <c r="B12" s="29" t="s">
        <v>23</v>
      </c>
      <c r="C12" s="9">
        <f>-'Fane 4.2. Gen. krav - anlæg'!G64</f>
        <v>0</v>
      </c>
      <c r="D12" s="8" t="s">
        <v>3</v>
      </c>
      <c r="E12" s="1"/>
    </row>
    <row r="13" spans="1:5" x14ac:dyDescent="0.35">
      <c r="A13" s="1"/>
      <c r="B13" s="32" t="s">
        <v>19</v>
      </c>
      <c r="C13" s="10">
        <f>SUM(C8:C12)</f>
        <v>24090502.554381125</v>
      </c>
      <c r="D13" s="11" t="s">
        <v>3</v>
      </c>
      <c r="E13" s="1"/>
    </row>
    <row r="14" spans="1:5" x14ac:dyDescent="0.35">
      <c r="A14" s="1"/>
      <c r="B14" s="53" t="s">
        <v>11</v>
      </c>
      <c r="C14" s="54"/>
      <c r="D14" s="19"/>
      <c r="E14" s="1"/>
    </row>
    <row r="15" spans="1:5" ht="15" customHeight="1" x14ac:dyDescent="0.35">
      <c r="A15" s="1"/>
      <c r="B15" s="55" t="s">
        <v>11</v>
      </c>
      <c r="C15" s="10">
        <f>'Fane 6. Ikke-påvirkelige omk.'!C20*(1+'Fane 13. Nøgletal'!C16)^3</f>
        <v>10283553.957771005</v>
      </c>
      <c r="D15" s="11" t="s">
        <v>3</v>
      </c>
      <c r="E15" s="1"/>
    </row>
    <row r="16" spans="1:5" x14ac:dyDescent="0.35">
      <c r="A16" s="1"/>
      <c r="B16" s="53" t="s">
        <v>117</v>
      </c>
      <c r="C16" s="54"/>
      <c r="D16" s="19"/>
      <c r="E16" s="1"/>
    </row>
    <row r="17" spans="1:5" x14ac:dyDescent="0.35">
      <c r="A17" s="1"/>
      <c r="B17" s="55" t="s">
        <v>118</v>
      </c>
      <c r="C17" s="10">
        <v>0</v>
      </c>
      <c r="D17" s="11" t="s">
        <v>3</v>
      </c>
      <c r="E17" s="1"/>
    </row>
    <row r="18" spans="1:5" x14ac:dyDescent="0.35">
      <c r="A18" s="1"/>
      <c r="B18" s="26" t="s">
        <v>138</v>
      </c>
      <c r="C18" s="54"/>
      <c r="D18" s="19"/>
      <c r="E18" s="1"/>
    </row>
    <row r="19" spans="1:5" x14ac:dyDescent="0.35">
      <c r="A19" s="1"/>
      <c r="B19" s="68" t="s">
        <v>139</v>
      </c>
      <c r="C19" s="10">
        <f>'Fane 8. Skattesagen'!G15</f>
        <v>0</v>
      </c>
      <c r="D19" s="11" t="s">
        <v>3</v>
      </c>
      <c r="E19" s="1"/>
    </row>
    <row r="20" spans="1:5" x14ac:dyDescent="0.35">
      <c r="A20" s="1"/>
      <c r="B20" s="53" t="s">
        <v>205</v>
      </c>
      <c r="C20" s="12">
        <f>SUM(C13,C15,C17,C19)</f>
        <v>34374056.512152128</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xeceYcZcZGQ242uSerQ8NYZVdZvCt/Qe3xwPB1r3d71/HSi/01FCQrX+i6RmsH4ukRYz9zwRO6wN718wGGbWvg==" saltValue="aZ1V83vUsmuvCdR4A8Q2+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97" t="s">
        <v>201</v>
      </c>
      <c r="C3" s="97"/>
      <c r="D3" s="97"/>
      <c r="E3" s="1"/>
    </row>
    <row r="4" spans="1:5" x14ac:dyDescent="0.35">
      <c r="A4" s="1"/>
      <c r="B4" s="97"/>
      <c r="C4" s="97"/>
      <c r="D4" s="97"/>
      <c r="E4" s="1"/>
    </row>
    <row r="5" spans="1:5" x14ac:dyDescent="0.35">
      <c r="A5" s="1"/>
      <c r="B5" s="1"/>
      <c r="C5" s="1"/>
      <c r="D5" s="1"/>
      <c r="E5" s="1"/>
    </row>
    <row r="6" spans="1:5" x14ac:dyDescent="0.35">
      <c r="A6" s="1"/>
      <c r="B6" s="1"/>
      <c r="C6" s="1"/>
      <c r="D6" s="1"/>
      <c r="E6" s="1"/>
    </row>
    <row r="7" spans="1:5" x14ac:dyDescent="0.35">
      <c r="A7" s="1"/>
      <c r="B7" s="53" t="s">
        <v>202</v>
      </c>
      <c r="C7" s="54"/>
      <c r="D7" s="19"/>
      <c r="E7" s="1"/>
    </row>
    <row r="8" spans="1:5" x14ac:dyDescent="0.35">
      <c r="A8" s="1"/>
      <c r="B8" s="56" t="s">
        <v>108</v>
      </c>
      <c r="C8" s="7">
        <v>18640505.838680629</v>
      </c>
      <c r="D8" s="8" t="s">
        <v>3</v>
      </c>
      <c r="E8" s="1"/>
    </row>
    <row r="9" spans="1:5" x14ac:dyDescent="0.35">
      <c r="A9" s="1"/>
      <c r="B9" s="24" t="s">
        <v>33</v>
      </c>
      <c r="C9" s="7">
        <v>37321.988400000002</v>
      </c>
      <c r="D9" s="8" t="s">
        <v>3</v>
      </c>
      <c r="E9" s="1"/>
    </row>
    <row r="10" spans="1:5" x14ac:dyDescent="0.35">
      <c r="A10" s="1"/>
      <c r="B10" s="24" t="s">
        <v>34</v>
      </c>
      <c r="C10" s="9">
        <v>1863857.3460000001</v>
      </c>
      <c r="D10" s="8" t="s">
        <v>3</v>
      </c>
      <c r="E10" s="1"/>
    </row>
    <row r="11" spans="1:5" x14ac:dyDescent="0.35">
      <c r="A11" s="1"/>
      <c r="B11" s="24" t="s">
        <v>25</v>
      </c>
      <c r="C11" s="9">
        <v>0</v>
      </c>
      <c r="D11" s="8" t="s">
        <v>3</v>
      </c>
      <c r="E11" s="1"/>
    </row>
    <row r="12" spans="1:5" x14ac:dyDescent="0.35">
      <c r="A12" s="1"/>
      <c r="B12" s="24" t="s">
        <v>24</v>
      </c>
      <c r="C12" s="9">
        <v>0</v>
      </c>
      <c r="D12" s="8" t="s">
        <v>3</v>
      </c>
      <c r="E12" s="1"/>
    </row>
    <row r="13" spans="1:5" x14ac:dyDescent="0.35">
      <c r="A13" s="1"/>
      <c r="B13" s="24" t="s">
        <v>106</v>
      </c>
      <c r="C13" s="9">
        <v>0</v>
      </c>
      <c r="D13" s="8" t="s">
        <v>3</v>
      </c>
      <c r="E13" s="1"/>
    </row>
    <row r="14" spans="1:5" x14ac:dyDescent="0.35">
      <c r="A14" s="1"/>
      <c r="B14" s="24" t="s">
        <v>107</v>
      </c>
      <c r="C14" s="9">
        <v>0</v>
      </c>
      <c r="D14" s="8" t="s">
        <v>3</v>
      </c>
      <c r="E14" s="1"/>
    </row>
    <row r="15" spans="1:5" x14ac:dyDescent="0.35">
      <c r="A15" s="1"/>
      <c r="B15" s="24" t="s">
        <v>17</v>
      </c>
      <c r="C15" s="9">
        <v>731283.99216167047</v>
      </c>
      <c r="D15" s="8" t="s">
        <v>3</v>
      </c>
      <c r="E15" s="1"/>
    </row>
    <row r="16" spans="1:5" x14ac:dyDescent="0.35">
      <c r="A16" s="1"/>
      <c r="B16" s="24" t="s">
        <v>9</v>
      </c>
      <c r="C16" s="9">
        <v>-425459.38330484601</v>
      </c>
      <c r="D16" s="8" t="s">
        <v>3</v>
      </c>
      <c r="E16" s="1"/>
    </row>
    <row r="17" spans="1:5" x14ac:dyDescent="0.35">
      <c r="A17" s="1"/>
      <c r="B17" s="24" t="s">
        <v>22</v>
      </c>
      <c r="C17" s="9">
        <v>-182159.61399138707</v>
      </c>
      <c r="D17" s="8" t="s">
        <v>3</v>
      </c>
      <c r="E17" s="1"/>
    </row>
    <row r="18" spans="1:5" x14ac:dyDescent="0.35">
      <c r="A18" s="1"/>
      <c r="B18" s="24" t="s">
        <v>23</v>
      </c>
      <c r="C18" s="9">
        <v>0</v>
      </c>
      <c r="D18" s="8" t="s">
        <v>3</v>
      </c>
      <c r="E18" s="1"/>
    </row>
    <row r="19" spans="1:5" x14ac:dyDescent="0.35">
      <c r="A19" s="1"/>
      <c r="B19" s="69" t="s">
        <v>19</v>
      </c>
      <c r="C19" s="10">
        <v>20665350.167946067</v>
      </c>
      <c r="D19" s="11" t="s">
        <v>3</v>
      </c>
      <c r="E19" s="1"/>
    </row>
    <row r="20" spans="1:5" x14ac:dyDescent="0.35">
      <c r="A20" s="1"/>
      <c r="B20" s="53" t="s">
        <v>11</v>
      </c>
      <c r="C20" s="54"/>
      <c r="D20" s="19"/>
      <c r="E20" s="1"/>
    </row>
    <row r="21" spans="1:5" x14ac:dyDescent="0.35">
      <c r="A21" s="1"/>
      <c r="B21" s="55" t="s">
        <v>11</v>
      </c>
      <c r="C21" s="10">
        <v>7737129.1593993604</v>
      </c>
      <c r="D21" s="11" t="s">
        <v>3</v>
      </c>
      <c r="E21" s="1"/>
    </row>
    <row r="22" spans="1:5" x14ac:dyDescent="0.35">
      <c r="A22" s="1"/>
      <c r="B22" s="53" t="s">
        <v>75</v>
      </c>
      <c r="C22" s="54"/>
      <c r="D22" s="19"/>
      <c r="E22" s="1"/>
    </row>
    <row r="23" spans="1:5" x14ac:dyDescent="0.35">
      <c r="A23" s="1"/>
      <c r="B23" s="24" t="s">
        <v>71</v>
      </c>
      <c r="C23" s="9">
        <v>193253.25593520002</v>
      </c>
      <c r="D23" s="8" t="s">
        <v>3</v>
      </c>
      <c r="E23" s="1"/>
    </row>
    <row r="24" spans="1:5" x14ac:dyDescent="0.35">
      <c r="A24" s="1"/>
      <c r="B24" s="24" t="s">
        <v>72</v>
      </c>
      <c r="C24" s="9">
        <v>0</v>
      </c>
      <c r="D24" s="8" t="s">
        <v>3</v>
      </c>
      <c r="E24" s="1"/>
    </row>
    <row r="25" spans="1:5" x14ac:dyDescent="0.35">
      <c r="A25" s="1"/>
      <c r="B25" s="24" t="s">
        <v>164</v>
      </c>
      <c r="C25" s="9">
        <v>-7730.1302374080014</v>
      </c>
      <c r="D25" s="8" t="s">
        <v>3</v>
      </c>
      <c r="E25" s="1"/>
    </row>
    <row r="26" spans="1:5" x14ac:dyDescent="0.35">
      <c r="A26" s="1"/>
      <c r="B26" s="24" t="s">
        <v>165</v>
      </c>
      <c r="C26" s="9">
        <v>0</v>
      </c>
      <c r="D26" s="8" t="s">
        <v>3</v>
      </c>
      <c r="E26" s="1"/>
    </row>
    <row r="27" spans="1:5" x14ac:dyDescent="0.35">
      <c r="A27" s="1"/>
      <c r="B27" s="69" t="s">
        <v>76</v>
      </c>
      <c r="C27" s="49">
        <v>185523.12569779201</v>
      </c>
      <c r="D27" s="11" t="s">
        <v>3</v>
      </c>
      <c r="E27" s="1"/>
    </row>
    <row r="28" spans="1:5" x14ac:dyDescent="0.35">
      <c r="A28" s="1"/>
      <c r="B28" s="26" t="s">
        <v>117</v>
      </c>
      <c r="C28" s="54"/>
      <c r="D28" s="19"/>
      <c r="E28" s="1"/>
    </row>
    <row r="29" spans="1:5" x14ac:dyDescent="0.35">
      <c r="A29" s="1"/>
      <c r="B29" s="68" t="s">
        <v>118</v>
      </c>
      <c r="C29" s="10">
        <v>-448044.23217396252</v>
      </c>
      <c r="D29" s="11" t="s">
        <v>3</v>
      </c>
      <c r="E29" s="1"/>
    </row>
    <row r="30" spans="1:5" x14ac:dyDescent="0.35">
      <c r="A30" s="1"/>
      <c r="B30" s="26" t="s">
        <v>138</v>
      </c>
      <c r="C30" s="54"/>
      <c r="D30" s="19"/>
      <c r="E30" s="1"/>
    </row>
    <row r="31" spans="1:5" x14ac:dyDescent="0.35">
      <c r="A31" s="1"/>
      <c r="B31" s="68" t="s">
        <v>139</v>
      </c>
      <c r="C31" s="10">
        <v>0</v>
      </c>
      <c r="D31" s="11" t="s">
        <v>3</v>
      </c>
      <c r="E31" s="1"/>
    </row>
    <row r="32" spans="1:5" x14ac:dyDescent="0.35">
      <c r="A32" s="1"/>
      <c r="B32" s="53" t="s">
        <v>239</v>
      </c>
      <c r="C32" s="33">
        <v>28139958.220869258</v>
      </c>
      <c r="D32" s="19" t="s">
        <v>3</v>
      </c>
      <c r="E32" s="1"/>
    </row>
    <row r="33" spans="1:5" ht="30" customHeight="1" x14ac:dyDescent="0.35">
      <c r="A33" s="1"/>
      <c r="B33" s="96" t="s">
        <v>240</v>
      </c>
      <c r="C33" s="96"/>
      <c r="D33" s="96"/>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sheetData>
  <sheetProtection algorithmName="SHA-512" hashValue="BufYM7XUxpHtbrgE1A/7ICwbJ6xJ88gju8YOWOL+wxi6mVFF76Us4WsKGvJ299IqCMuhle1GNEz6DUM49VGmXA==" saltValue="d722zpJX45xepKuUdqtgx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796875" defaultRowHeight="14.5" x14ac:dyDescent="0.35"/>
  <cols>
    <col min="1" max="1" width="5.26953125" style="2" customWidth="1"/>
    <col min="2" max="5" width="9.1796875" style="2"/>
    <col min="6" max="6" width="20.1796875" style="2" customWidth="1"/>
    <col min="7" max="7" width="13.453125" style="37" customWidth="1"/>
    <col min="8" max="8" width="3.7265625" style="2" customWidth="1"/>
    <col min="9" max="9" width="5.26953125" style="2" customWidth="1"/>
    <col min="10" max="16384" width="9.1796875" style="2"/>
  </cols>
  <sheetData>
    <row r="1" spans="1:9" ht="15" customHeight="1" x14ac:dyDescent="0.35">
      <c r="A1" s="1"/>
      <c r="B1" s="97" t="s">
        <v>90</v>
      </c>
      <c r="C1" s="97"/>
      <c r="D1" s="97"/>
      <c r="E1" s="97"/>
      <c r="F1" s="97"/>
      <c r="G1" s="97"/>
      <c r="H1" s="97"/>
      <c r="I1" s="1"/>
    </row>
    <row r="2" spans="1:9" ht="15" customHeight="1" x14ac:dyDescent="0.35">
      <c r="A2" s="1"/>
      <c r="B2" s="97"/>
      <c r="C2" s="97"/>
      <c r="D2" s="97"/>
      <c r="E2" s="97"/>
      <c r="F2" s="97"/>
      <c r="G2" s="97"/>
      <c r="H2" s="97"/>
      <c r="I2" s="1"/>
    </row>
    <row r="3" spans="1:9" ht="15" customHeight="1" x14ac:dyDescent="0.35">
      <c r="A3" s="1"/>
      <c r="B3" s="97"/>
      <c r="C3" s="97"/>
      <c r="D3" s="97"/>
      <c r="E3" s="97"/>
      <c r="F3" s="97"/>
      <c r="G3" s="97"/>
      <c r="H3" s="97"/>
      <c r="I3" s="1"/>
    </row>
    <row r="4" spans="1:9" x14ac:dyDescent="0.35">
      <c r="A4" s="1"/>
      <c r="B4" s="104" t="s">
        <v>44</v>
      </c>
      <c r="C4" s="105"/>
      <c r="D4" s="105"/>
      <c r="E4" s="105"/>
      <c r="F4" s="105"/>
      <c r="G4" s="105"/>
      <c r="H4" s="106"/>
      <c r="I4" s="1"/>
    </row>
    <row r="5" spans="1:9" x14ac:dyDescent="0.35">
      <c r="A5" s="1"/>
      <c r="B5" s="98" t="s">
        <v>36</v>
      </c>
      <c r="C5" s="99"/>
      <c r="D5" s="99"/>
      <c r="E5" s="99"/>
      <c r="F5" s="100"/>
      <c r="G5" s="47">
        <v>7727377.2794819884</v>
      </c>
      <c r="H5" s="14" t="s">
        <v>3</v>
      </c>
      <c r="I5" s="1"/>
    </row>
    <row r="6" spans="1:9" x14ac:dyDescent="0.35">
      <c r="A6" s="1"/>
      <c r="B6" s="98" t="s">
        <v>37</v>
      </c>
      <c r="C6" s="99"/>
      <c r="D6" s="99"/>
      <c r="E6" s="99"/>
      <c r="F6" s="100"/>
      <c r="G6" s="22">
        <f>G5*'Fane 13. Nøgletal'!C33</f>
        <v>154547.54558963978</v>
      </c>
      <c r="H6" s="14" t="s">
        <v>3</v>
      </c>
      <c r="I6" s="1"/>
    </row>
    <row r="7" spans="1:9" x14ac:dyDescent="0.35">
      <c r="A7" s="1"/>
      <c r="B7" s="53"/>
      <c r="C7" s="54"/>
      <c r="D7" s="54"/>
      <c r="E7" s="54"/>
      <c r="F7" s="54"/>
      <c r="G7" s="35"/>
      <c r="H7" s="19"/>
      <c r="I7" s="1"/>
    </row>
    <row r="8" spans="1:9" x14ac:dyDescent="0.35">
      <c r="A8" s="1"/>
      <c r="B8" s="1"/>
      <c r="C8" s="1"/>
      <c r="D8" s="1"/>
      <c r="E8" s="1"/>
      <c r="F8" s="1"/>
      <c r="G8" s="36"/>
      <c r="H8" s="1"/>
      <c r="I8" s="1"/>
    </row>
    <row r="9" spans="1:9" x14ac:dyDescent="0.35">
      <c r="A9" s="1"/>
      <c r="B9" s="104" t="s">
        <v>45</v>
      </c>
      <c r="C9" s="105"/>
      <c r="D9" s="105"/>
      <c r="E9" s="105"/>
      <c r="F9" s="105"/>
      <c r="G9" s="105"/>
      <c r="H9" s="106"/>
      <c r="I9" s="1"/>
    </row>
    <row r="10" spans="1:9" x14ac:dyDescent="0.35">
      <c r="A10" s="1"/>
      <c r="B10" s="98" t="s">
        <v>38</v>
      </c>
      <c r="C10" s="99"/>
      <c r="D10" s="99"/>
      <c r="E10" s="99"/>
      <c r="F10" s="100"/>
      <c r="G10" s="22">
        <f>(G5-G6)*(1+'Fane 13. Nøgletal'!C9)</f>
        <v>7669004.6715127807</v>
      </c>
      <c r="H10" s="14" t="s">
        <v>3</v>
      </c>
      <c r="I10" s="1"/>
    </row>
    <row r="11" spans="1:9" x14ac:dyDescent="0.35">
      <c r="A11" s="1"/>
      <c r="B11" s="101" t="s">
        <v>228</v>
      </c>
      <c r="C11" s="102"/>
      <c r="D11" s="102"/>
      <c r="E11" s="102"/>
      <c r="F11" s="103"/>
      <c r="G11" s="47">
        <v>0</v>
      </c>
      <c r="H11" s="14" t="s">
        <v>3</v>
      </c>
      <c r="I11" s="1"/>
    </row>
    <row r="12" spans="1:9" x14ac:dyDescent="0.35">
      <c r="A12" s="1"/>
      <c r="B12" s="98" t="s">
        <v>39</v>
      </c>
      <c r="C12" s="99"/>
      <c r="D12" s="99"/>
      <c r="E12" s="99"/>
      <c r="F12" s="100"/>
      <c r="G12" s="22">
        <f>(G10+G11)*'Fane 13. Nøgletal'!C33</f>
        <v>153380.09343025563</v>
      </c>
      <c r="H12" s="14" t="s">
        <v>3</v>
      </c>
      <c r="I12" s="1"/>
    </row>
    <row r="13" spans="1:9" x14ac:dyDescent="0.35">
      <c r="A13" s="1"/>
      <c r="B13" s="53"/>
      <c r="C13" s="54"/>
      <c r="D13" s="54"/>
      <c r="E13" s="54"/>
      <c r="F13" s="54"/>
      <c r="G13" s="35"/>
      <c r="H13" s="19"/>
      <c r="I13" s="1"/>
    </row>
    <row r="14" spans="1:9" x14ac:dyDescent="0.35">
      <c r="A14" s="1"/>
      <c r="B14" s="1"/>
      <c r="C14" s="1"/>
      <c r="D14" s="1"/>
      <c r="E14" s="1"/>
      <c r="F14" s="1"/>
      <c r="G14" s="36"/>
      <c r="H14" s="1"/>
      <c r="I14" s="1"/>
    </row>
    <row r="15" spans="1:9" x14ac:dyDescent="0.35">
      <c r="A15" s="1"/>
      <c r="B15" s="104" t="s">
        <v>46</v>
      </c>
      <c r="C15" s="105"/>
      <c r="D15" s="105"/>
      <c r="E15" s="105"/>
      <c r="F15" s="105"/>
      <c r="G15" s="105"/>
      <c r="H15" s="106"/>
      <c r="I15" s="1"/>
    </row>
    <row r="16" spans="1:9" x14ac:dyDescent="0.35">
      <c r="A16" s="1"/>
      <c r="B16" s="98" t="s">
        <v>40</v>
      </c>
      <c r="C16" s="99"/>
      <c r="D16" s="99"/>
      <c r="E16" s="99"/>
      <c r="F16" s="100"/>
      <c r="G16" s="22">
        <f>(G10+G11-G12)*(1+'Fane 13. Nøgletal'!C11)</f>
        <v>7642638.6334521193</v>
      </c>
      <c r="H16" s="14" t="s">
        <v>3</v>
      </c>
      <c r="I16" s="1"/>
    </row>
    <row r="17" spans="1:9" x14ac:dyDescent="0.35">
      <c r="A17" s="1"/>
      <c r="B17" s="98" t="s">
        <v>100</v>
      </c>
      <c r="C17" s="99"/>
      <c r="D17" s="99"/>
      <c r="E17" s="99"/>
      <c r="F17" s="100"/>
      <c r="G17" s="47">
        <v>0</v>
      </c>
      <c r="H17" s="14" t="s">
        <v>3</v>
      </c>
      <c r="I17" s="1"/>
    </row>
    <row r="18" spans="1:9" x14ac:dyDescent="0.35">
      <c r="A18" s="1"/>
      <c r="B18" s="101" t="s">
        <v>229</v>
      </c>
      <c r="C18" s="102"/>
      <c r="D18" s="102"/>
      <c r="E18" s="102"/>
      <c r="F18" s="103"/>
      <c r="G18" s="47">
        <v>363325.97907349991</v>
      </c>
      <c r="H18" s="14" t="s">
        <v>3</v>
      </c>
      <c r="I18" s="1"/>
    </row>
    <row r="19" spans="1:9" x14ac:dyDescent="0.35">
      <c r="A19" s="1"/>
      <c r="B19" s="98" t="s">
        <v>41</v>
      </c>
      <c r="C19" s="99"/>
      <c r="D19" s="99"/>
      <c r="E19" s="99"/>
      <c r="F19" s="100"/>
      <c r="G19" s="22">
        <f>SUM(G16:G18)*'Fane 13. Nøgletal'!C33</f>
        <v>160119.2922505124</v>
      </c>
      <c r="H19" s="14" t="s">
        <v>3</v>
      </c>
      <c r="I19" s="1"/>
    </row>
    <row r="20" spans="1:9" x14ac:dyDescent="0.35">
      <c r="A20" s="1"/>
      <c r="B20" s="53"/>
      <c r="C20" s="54"/>
      <c r="D20" s="54"/>
      <c r="E20" s="54"/>
      <c r="F20" s="54"/>
      <c r="G20" s="35"/>
      <c r="H20" s="19"/>
      <c r="I20" s="1"/>
    </row>
    <row r="21" spans="1:9" x14ac:dyDescent="0.35">
      <c r="A21" s="1"/>
      <c r="B21" s="1"/>
      <c r="C21" s="1"/>
      <c r="D21" s="1"/>
      <c r="E21" s="1"/>
      <c r="F21" s="1"/>
      <c r="G21" s="36"/>
      <c r="H21" s="1"/>
      <c r="I21" s="1"/>
    </row>
    <row r="22" spans="1:9" x14ac:dyDescent="0.35">
      <c r="A22" s="1"/>
      <c r="B22" s="104" t="s">
        <v>47</v>
      </c>
      <c r="C22" s="105"/>
      <c r="D22" s="105"/>
      <c r="E22" s="105"/>
      <c r="F22" s="105"/>
      <c r="G22" s="105"/>
      <c r="H22" s="106"/>
      <c r="I22" s="1"/>
    </row>
    <row r="23" spans="1:9" x14ac:dyDescent="0.35">
      <c r="A23" s="1"/>
      <c r="B23" s="98" t="s">
        <v>42</v>
      </c>
      <c r="C23" s="99"/>
      <c r="D23" s="99"/>
      <c r="E23" s="99"/>
      <c r="F23" s="100"/>
      <c r="G23" s="22">
        <f>(SUM(G16:G18)-G19)*(1+'Fane 13. Nøgletal'!C11)</f>
        <v>7978440.1061877562</v>
      </c>
      <c r="H23" s="14" t="s">
        <v>3</v>
      </c>
      <c r="I23" s="1"/>
    </row>
    <row r="24" spans="1:9" x14ac:dyDescent="0.35">
      <c r="A24" s="1"/>
      <c r="B24" s="101" t="s">
        <v>230</v>
      </c>
      <c r="C24" s="102"/>
      <c r="D24" s="102"/>
      <c r="E24" s="102"/>
      <c r="F24" s="103"/>
      <c r="G24" s="47">
        <v>1103366.97255114</v>
      </c>
      <c r="H24" s="14" t="s">
        <v>3</v>
      </c>
      <c r="I24" s="1"/>
    </row>
    <row r="25" spans="1:9" x14ac:dyDescent="0.35">
      <c r="A25" s="1"/>
      <c r="B25" s="98" t="s">
        <v>43</v>
      </c>
      <c r="C25" s="99"/>
      <c r="D25" s="99"/>
      <c r="E25" s="99"/>
      <c r="F25" s="100"/>
      <c r="G25" s="22">
        <f>(G23+G24)*'Fane 13. Nøgletal'!C33</f>
        <v>181636.14157477792</v>
      </c>
      <c r="H25" s="14" t="s">
        <v>3</v>
      </c>
      <c r="I25" s="1"/>
    </row>
    <row r="26" spans="1:9" x14ac:dyDescent="0.35">
      <c r="A26" s="1"/>
      <c r="B26" s="53"/>
      <c r="C26" s="54"/>
      <c r="D26" s="54"/>
      <c r="E26" s="54"/>
      <c r="F26" s="54"/>
      <c r="G26" s="35"/>
      <c r="H26" s="19"/>
      <c r="I26" s="1"/>
    </row>
    <row r="27" spans="1:9" x14ac:dyDescent="0.35">
      <c r="A27" s="1"/>
      <c r="B27" s="1"/>
      <c r="C27" s="1"/>
      <c r="D27" s="1"/>
      <c r="E27" s="1"/>
      <c r="F27" s="1"/>
      <c r="G27" s="36"/>
      <c r="H27" s="1"/>
      <c r="I27" s="1"/>
    </row>
    <row r="28" spans="1:9" x14ac:dyDescent="0.35">
      <c r="A28" s="1"/>
      <c r="B28" s="104" t="s">
        <v>121</v>
      </c>
      <c r="C28" s="105"/>
      <c r="D28" s="105"/>
      <c r="E28" s="105"/>
      <c r="F28" s="105"/>
      <c r="G28" s="105"/>
      <c r="H28" s="106"/>
      <c r="I28" s="1"/>
    </row>
    <row r="29" spans="1:9" x14ac:dyDescent="0.35">
      <c r="A29" s="1"/>
      <c r="B29" s="98" t="s">
        <v>50</v>
      </c>
      <c r="C29" s="99"/>
      <c r="D29" s="99"/>
      <c r="E29" s="99"/>
      <c r="F29" s="100"/>
      <c r="G29" s="22">
        <f>(G23+G24-G25)*(1+'Fane 13. Nøgletal'!C13)</f>
        <v>9008753.0225975215</v>
      </c>
      <c r="H29" s="14" t="s">
        <v>3</v>
      </c>
      <c r="I29" s="1"/>
    </row>
    <row r="30" spans="1:9" x14ac:dyDescent="0.35">
      <c r="A30" s="1"/>
      <c r="B30" s="98" t="s">
        <v>231</v>
      </c>
      <c r="C30" s="99"/>
      <c r="D30" s="99"/>
      <c r="E30" s="99"/>
      <c r="F30" s="100"/>
      <c r="G30" s="47">
        <v>0</v>
      </c>
      <c r="H30" s="14" t="s">
        <v>3</v>
      </c>
      <c r="I30" s="1"/>
    </row>
    <row r="31" spans="1:9" x14ac:dyDescent="0.35">
      <c r="A31" s="1"/>
      <c r="B31" s="98" t="s">
        <v>115</v>
      </c>
      <c r="C31" s="99"/>
      <c r="D31" s="99"/>
      <c r="E31" s="99"/>
      <c r="F31" s="100"/>
      <c r="G31" s="22">
        <f>(G29+G30)*'Fane 13. Nøgletal'!C33</f>
        <v>180175.06045195044</v>
      </c>
      <c r="H31" s="14" t="s">
        <v>3</v>
      </c>
      <c r="I31" s="1"/>
    </row>
    <row r="32" spans="1:9" x14ac:dyDescent="0.35">
      <c r="A32" s="1"/>
      <c r="B32" s="53"/>
      <c r="C32" s="54"/>
      <c r="D32" s="54"/>
      <c r="E32" s="54"/>
      <c r="F32" s="54"/>
      <c r="G32" s="35"/>
      <c r="H32" s="19"/>
      <c r="I32" s="1"/>
    </row>
    <row r="33" spans="1:9" x14ac:dyDescent="0.35">
      <c r="A33" s="1"/>
      <c r="B33" s="1"/>
      <c r="C33" s="1"/>
      <c r="D33" s="1"/>
      <c r="E33" s="1"/>
      <c r="F33" s="1"/>
      <c r="G33" s="36"/>
      <c r="H33" s="1"/>
      <c r="I33" s="1"/>
    </row>
    <row r="34" spans="1:9" x14ac:dyDescent="0.35">
      <c r="A34" s="1"/>
      <c r="B34" s="104" t="s">
        <v>122</v>
      </c>
      <c r="C34" s="105"/>
      <c r="D34" s="105"/>
      <c r="E34" s="105"/>
      <c r="F34" s="105"/>
      <c r="G34" s="105"/>
      <c r="H34" s="106"/>
      <c r="I34" s="1"/>
    </row>
    <row r="35" spans="1:9" x14ac:dyDescent="0.35">
      <c r="A35" s="1"/>
      <c r="B35" s="98" t="s">
        <v>69</v>
      </c>
      <c r="C35" s="99"/>
      <c r="D35" s="99"/>
      <c r="E35" s="99"/>
      <c r="F35" s="100"/>
      <c r="G35" s="22">
        <f>(G29+G30-G31)*(1+'Fane 13. Nøgletal'!C13)</f>
        <v>8936286.6132837459</v>
      </c>
      <c r="H35" s="14" t="s">
        <v>3</v>
      </c>
      <c r="I35" s="1"/>
    </row>
    <row r="36" spans="1:9" x14ac:dyDescent="0.35">
      <c r="A36" s="1"/>
      <c r="B36" s="98" t="s">
        <v>232</v>
      </c>
      <c r="C36" s="99"/>
      <c r="D36" s="99"/>
      <c r="E36" s="99"/>
      <c r="F36" s="100"/>
      <c r="G36" s="47">
        <v>0</v>
      </c>
      <c r="H36" s="14" t="s">
        <v>3</v>
      </c>
      <c r="I36" s="1"/>
    </row>
    <row r="37" spans="1:9" x14ac:dyDescent="0.35">
      <c r="A37" s="1"/>
      <c r="B37" s="98" t="s">
        <v>123</v>
      </c>
      <c r="C37" s="99"/>
      <c r="D37" s="99"/>
      <c r="E37" s="99"/>
      <c r="F37" s="100"/>
      <c r="G37" s="22">
        <f>(G35+G36)*'Fane 13. Nøgletal'!C33</f>
        <v>178725.73226567492</v>
      </c>
      <c r="H37" s="14" t="s">
        <v>3</v>
      </c>
      <c r="I37" s="1"/>
    </row>
    <row r="38" spans="1:9" x14ac:dyDescent="0.35">
      <c r="A38" s="1"/>
      <c r="B38" s="53"/>
      <c r="C38" s="54"/>
      <c r="D38" s="54"/>
      <c r="E38" s="54"/>
      <c r="F38" s="54"/>
      <c r="G38" s="35"/>
      <c r="H38" s="19"/>
      <c r="I38" s="1"/>
    </row>
    <row r="39" spans="1:9" x14ac:dyDescent="0.35">
      <c r="A39" s="1"/>
      <c r="B39" s="1"/>
      <c r="C39" s="1"/>
      <c r="D39" s="1"/>
      <c r="E39" s="1"/>
      <c r="F39" s="1"/>
      <c r="G39" s="36"/>
      <c r="H39" s="1"/>
      <c r="I39" s="1"/>
    </row>
    <row r="40" spans="1:9" x14ac:dyDescent="0.35">
      <c r="A40" s="1"/>
      <c r="B40" s="104" t="s">
        <v>157</v>
      </c>
      <c r="C40" s="105"/>
      <c r="D40" s="105"/>
      <c r="E40" s="105"/>
      <c r="F40" s="105"/>
      <c r="G40" s="105"/>
      <c r="H40" s="106"/>
      <c r="I40" s="1"/>
    </row>
    <row r="41" spans="1:9" x14ac:dyDescent="0.35">
      <c r="A41" s="1"/>
      <c r="B41" s="98" t="s">
        <v>68</v>
      </c>
      <c r="C41" s="99"/>
      <c r="D41" s="99"/>
      <c r="E41" s="99"/>
      <c r="F41" s="100"/>
      <c r="G41" s="22">
        <f>(G35+G36-G37)*(1+'Fane 13. Nøgletal'!C15)</f>
        <v>9069330.0483823139</v>
      </c>
      <c r="H41" s="14" t="s">
        <v>3</v>
      </c>
      <c r="I41" s="1"/>
    </row>
    <row r="42" spans="1:9" x14ac:dyDescent="0.35">
      <c r="A42" s="1"/>
      <c r="B42" s="98" t="s">
        <v>156</v>
      </c>
      <c r="C42" s="99"/>
      <c r="D42" s="99"/>
      <c r="E42" s="99"/>
      <c r="F42" s="100"/>
      <c r="G42" s="22">
        <v>38650.651187040006</v>
      </c>
      <c r="H42" s="14" t="s">
        <v>3</v>
      </c>
      <c r="I42" s="1"/>
    </row>
    <row r="43" spans="1:9" x14ac:dyDescent="0.35">
      <c r="A43" s="1"/>
      <c r="B43" s="98" t="s">
        <v>166</v>
      </c>
      <c r="C43" s="99"/>
      <c r="D43" s="99"/>
      <c r="E43" s="99"/>
      <c r="F43" s="100"/>
      <c r="G43" s="22">
        <f>(G41+G42)*'Fane 13. Nøgletal'!C33</f>
        <v>182159.61399138707</v>
      </c>
      <c r="H43" s="14" t="s">
        <v>3</v>
      </c>
      <c r="I43" s="1"/>
    </row>
    <row r="44" spans="1:9" x14ac:dyDescent="0.35">
      <c r="A44" s="1"/>
      <c r="B44" s="53"/>
      <c r="C44" s="54"/>
      <c r="D44" s="54"/>
      <c r="E44" s="54"/>
      <c r="F44" s="54"/>
      <c r="G44" s="35"/>
      <c r="H44" s="19"/>
      <c r="I44" s="1"/>
    </row>
    <row r="45" spans="1:9" x14ac:dyDescent="0.35">
      <c r="A45" s="1"/>
      <c r="B45" s="1"/>
      <c r="C45" s="1"/>
      <c r="D45" s="1"/>
      <c r="E45" s="1"/>
      <c r="F45" s="1"/>
      <c r="G45" s="36"/>
      <c r="H45" s="1"/>
      <c r="I45" s="1"/>
    </row>
    <row r="46" spans="1:9" x14ac:dyDescent="0.35">
      <c r="A46" s="1"/>
      <c r="B46" s="104" t="s">
        <v>158</v>
      </c>
      <c r="C46" s="105"/>
      <c r="D46" s="105"/>
      <c r="E46" s="105"/>
      <c r="F46" s="105"/>
      <c r="G46" s="105"/>
      <c r="H46" s="106"/>
      <c r="I46" s="1"/>
    </row>
    <row r="47" spans="1:9" x14ac:dyDescent="0.35">
      <c r="A47" s="1"/>
      <c r="B47" s="98" t="s">
        <v>112</v>
      </c>
      <c r="C47" s="99"/>
      <c r="D47" s="99"/>
      <c r="E47" s="99"/>
      <c r="F47" s="100"/>
      <c r="G47" s="22">
        <f>(G41+G42-G43)*(1+'Fane 13. Nøgletal'!C15)</f>
        <v>9243580.3162245434</v>
      </c>
      <c r="H47" s="14" t="s">
        <v>3</v>
      </c>
      <c r="I47" s="1"/>
    </row>
    <row r="48" spans="1:9" x14ac:dyDescent="0.35">
      <c r="A48" s="1"/>
      <c r="B48" s="98" t="s">
        <v>206</v>
      </c>
      <c r="C48" s="99"/>
      <c r="D48" s="99"/>
      <c r="E48" s="99"/>
      <c r="F48" s="100"/>
      <c r="G48" s="22">
        <f>('Fane 2.1. Økonomisk ramme 2024'!C9+'Fane 2.1. Økonomisk ramme 2024'!C11+'Fane 2.1. Økonomisk ramme 2024'!C13)*(1+'Fane 13. Nøgletal'!C16)</f>
        <v>44561.771358719998</v>
      </c>
      <c r="H48" s="14" t="s">
        <v>3</v>
      </c>
      <c r="I48" s="1"/>
    </row>
    <row r="49" spans="1:9" x14ac:dyDescent="0.35">
      <c r="A49" s="1"/>
      <c r="B49" s="98" t="s">
        <v>167</v>
      </c>
      <c r="C49" s="99"/>
      <c r="D49" s="99"/>
      <c r="E49" s="99"/>
      <c r="F49" s="100"/>
      <c r="G49" s="22">
        <f>G47*'Fane 13. Nøgletal'!C33+G48*'Fane 13. Nøgletal'!C33</f>
        <v>185762.84175166526</v>
      </c>
      <c r="H49" s="14" t="s">
        <v>3</v>
      </c>
      <c r="I49" s="1"/>
    </row>
    <row r="50" spans="1:9" x14ac:dyDescent="0.35">
      <c r="A50" s="1"/>
      <c r="B50" s="53"/>
      <c r="C50" s="54"/>
      <c r="D50" s="54"/>
      <c r="E50" s="54"/>
      <c r="F50" s="54"/>
      <c r="G50" s="35"/>
      <c r="H50" s="19"/>
      <c r="I50" s="1"/>
    </row>
    <row r="51" spans="1:9" x14ac:dyDescent="0.35">
      <c r="A51" s="1"/>
      <c r="B51" s="1"/>
      <c r="C51" s="1"/>
      <c r="D51" s="1"/>
      <c r="E51" s="1"/>
      <c r="F51" s="1"/>
      <c r="G51" s="36"/>
      <c r="H51" s="1"/>
      <c r="I51" s="1"/>
    </row>
    <row r="52" spans="1:9" x14ac:dyDescent="0.35">
      <c r="A52" s="1"/>
      <c r="B52" s="104" t="s">
        <v>133</v>
      </c>
      <c r="C52" s="105"/>
      <c r="D52" s="105"/>
      <c r="E52" s="105"/>
      <c r="F52" s="105"/>
      <c r="G52" s="105"/>
      <c r="H52" s="106"/>
      <c r="I52" s="1"/>
    </row>
    <row r="53" spans="1:9" x14ac:dyDescent="0.35">
      <c r="A53" s="1"/>
      <c r="B53" s="98" t="s">
        <v>134</v>
      </c>
      <c r="C53" s="99"/>
      <c r="D53" s="99"/>
      <c r="E53" s="99"/>
      <c r="F53" s="100"/>
      <c r="G53" s="22">
        <f>(G47+G48-G49)*(1+'Fane 13. Nøgletal'!C16)</f>
        <v>9837851.4888947904</v>
      </c>
      <c r="H53" s="14" t="s">
        <v>3</v>
      </c>
      <c r="I53" s="1"/>
    </row>
    <row r="54" spans="1:9" x14ac:dyDescent="0.35">
      <c r="A54" s="1"/>
      <c r="B54" s="98" t="s">
        <v>135</v>
      </c>
      <c r="C54" s="99"/>
      <c r="D54" s="99"/>
      <c r="E54" s="99"/>
      <c r="F54" s="100"/>
      <c r="G54" s="22">
        <f>(G53)*'Fane 13. Nøgletal'!C33</f>
        <v>196757.0297778958</v>
      </c>
      <c r="H54" s="14" t="s">
        <v>3</v>
      </c>
      <c r="I54" s="1"/>
    </row>
    <row r="55" spans="1:9" x14ac:dyDescent="0.35">
      <c r="A55" s="1"/>
      <c r="B55" s="53"/>
      <c r="C55" s="54"/>
      <c r="D55" s="54"/>
      <c r="E55" s="54"/>
      <c r="F55" s="54"/>
      <c r="G55" s="35"/>
      <c r="H55" s="19"/>
      <c r="I55" s="1"/>
    </row>
    <row r="56" spans="1:9" x14ac:dyDescent="0.35">
      <c r="A56" s="1"/>
      <c r="B56" s="1"/>
      <c r="C56" s="1"/>
      <c r="D56" s="1"/>
      <c r="E56" s="1"/>
      <c r="F56" s="1"/>
      <c r="G56" s="36"/>
      <c r="H56" s="1"/>
      <c r="I56" s="1"/>
    </row>
    <row r="57" spans="1:9" x14ac:dyDescent="0.35">
      <c r="A57" s="1"/>
      <c r="B57" s="104" t="s">
        <v>144</v>
      </c>
      <c r="C57" s="105"/>
      <c r="D57" s="105"/>
      <c r="E57" s="105"/>
      <c r="F57" s="105"/>
      <c r="G57" s="105"/>
      <c r="H57" s="106"/>
      <c r="I57" s="1"/>
    </row>
    <row r="58" spans="1:9" x14ac:dyDescent="0.35">
      <c r="A58" s="1"/>
      <c r="B58" s="98" t="s">
        <v>145</v>
      </c>
      <c r="C58" s="99"/>
      <c r="D58" s="99"/>
      <c r="E58" s="99"/>
      <c r="F58" s="100"/>
      <c r="G58" s="22">
        <f>(G53-G54)*(1+'Fane 13. Nøgletal'!C16)</f>
        <v>10420094.89141354</v>
      </c>
      <c r="H58" s="14" t="s">
        <v>3</v>
      </c>
      <c r="I58" s="1"/>
    </row>
    <row r="59" spans="1:9" x14ac:dyDescent="0.35">
      <c r="A59" s="1"/>
      <c r="B59" s="98" t="s">
        <v>146</v>
      </c>
      <c r="C59" s="99"/>
      <c r="D59" s="99"/>
      <c r="E59" s="99"/>
      <c r="F59" s="100"/>
      <c r="G59" s="22">
        <f>(G58)*'Fane 13. Nøgletal'!C33</f>
        <v>208401.8978282708</v>
      </c>
      <c r="H59" s="14" t="s">
        <v>3</v>
      </c>
      <c r="I59" s="1"/>
    </row>
    <row r="60" spans="1:9" x14ac:dyDescent="0.35">
      <c r="A60" s="1"/>
      <c r="B60" s="53"/>
      <c r="C60" s="54"/>
      <c r="D60" s="54"/>
      <c r="E60" s="54"/>
      <c r="F60" s="54"/>
      <c r="G60" s="35"/>
      <c r="H60" s="19"/>
      <c r="I60" s="1"/>
    </row>
    <row r="61" spans="1:9" x14ac:dyDescent="0.35">
      <c r="A61" s="1"/>
      <c r="B61" s="1"/>
      <c r="C61" s="1"/>
      <c r="D61" s="1"/>
      <c r="E61" s="1"/>
      <c r="F61" s="1"/>
      <c r="G61" s="36"/>
      <c r="H61" s="1"/>
      <c r="I61" s="1"/>
    </row>
    <row r="62" spans="1:9" x14ac:dyDescent="0.35">
      <c r="A62" s="1"/>
      <c r="B62" s="104" t="s">
        <v>220</v>
      </c>
      <c r="C62" s="105"/>
      <c r="D62" s="105"/>
      <c r="E62" s="105"/>
      <c r="F62" s="105"/>
      <c r="G62" s="105"/>
      <c r="H62" s="106"/>
      <c r="I62" s="1"/>
    </row>
    <row r="63" spans="1:9" x14ac:dyDescent="0.35">
      <c r="A63" s="1"/>
      <c r="B63" s="98" t="s">
        <v>221</v>
      </c>
      <c r="C63" s="99"/>
      <c r="D63" s="99"/>
      <c r="E63" s="99"/>
      <c r="F63" s="100"/>
      <c r="G63" s="22">
        <f>(G58-G59)*(1+'Fane 13. Nøgletal'!C16)</f>
        <v>11036797.787466958</v>
      </c>
      <c r="H63" s="14" t="s">
        <v>3</v>
      </c>
      <c r="I63" s="1"/>
    </row>
    <row r="64" spans="1:9" x14ac:dyDescent="0.35">
      <c r="A64" s="1"/>
      <c r="B64" s="98" t="s">
        <v>222</v>
      </c>
      <c r="C64" s="99"/>
      <c r="D64" s="99"/>
      <c r="E64" s="99"/>
      <c r="F64" s="100"/>
      <c r="G64" s="22">
        <f>(G63)*'Fane 13. Nøgletal'!C33</f>
        <v>220735.95574933916</v>
      </c>
      <c r="H64" s="14" t="s">
        <v>3</v>
      </c>
      <c r="I64" s="1"/>
    </row>
    <row r="65" spans="1:9" x14ac:dyDescent="0.35">
      <c r="A65" s="1"/>
      <c r="B65" s="53"/>
      <c r="C65" s="54"/>
      <c r="D65" s="54"/>
      <c r="E65" s="54"/>
      <c r="F65" s="54"/>
      <c r="G65" s="50"/>
      <c r="H65" s="19"/>
      <c r="I65" s="1"/>
    </row>
    <row r="66" spans="1:9" x14ac:dyDescent="0.35">
      <c r="A66" s="1"/>
      <c r="B66" s="1"/>
      <c r="C66" s="1"/>
      <c r="D66" s="1"/>
      <c r="E66" s="1"/>
      <c r="F66" s="1"/>
      <c r="G66" s="36"/>
      <c r="H66" s="1"/>
      <c r="I66" s="1"/>
    </row>
    <row r="67" spans="1:9" x14ac:dyDescent="0.35">
      <c r="A67" s="1"/>
      <c r="B67" s="1"/>
      <c r="C67" s="1"/>
      <c r="D67" s="1"/>
      <c r="E67" s="1"/>
      <c r="F67" s="1"/>
      <c r="G67" s="36"/>
      <c r="H67" s="1"/>
      <c r="I67" s="1"/>
    </row>
    <row r="68" spans="1:9" x14ac:dyDescent="0.35">
      <c r="A68" s="1"/>
      <c r="B68" s="1"/>
      <c r="C68" s="1"/>
      <c r="D68" s="1"/>
      <c r="E68" s="1"/>
      <c r="F68" s="1"/>
      <c r="G68" s="36"/>
      <c r="H68" s="1"/>
      <c r="I68" s="1"/>
    </row>
    <row r="69" spans="1:9" x14ac:dyDescent="0.35">
      <c r="A69" s="1"/>
      <c r="B69" s="1"/>
      <c r="C69" s="1"/>
      <c r="D69" s="1"/>
      <c r="E69" s="1"/>
      <c r="F69" s="1"/>
      <c r="G69" s="36"/>
      <c r="H69" s="1"/>
      <c r="I69" s="1"/>
    </row>
    <row r="70" spans="1:9" x14ac:dyDescent="0.35">
      <c r="A70" s="1"/>
      <c r="B70" s="1"/>
      <c r="C70" s="1"/>
      <c r="D70" s="1"/>
      <c r="E70" s="1"/>
      <c r="F70" s="1"/>
      <c r="G70" s="36"/>
      <c r="H70" s="1"/>
      <c r="I70" s="1"/>
    </row>
    <row r="71" spans="1:9" x14ac:dyDescent="0.35">
      <c r="A71" s="1"/>
      <c r="B71" s="1"/>
      <c r="C71" s="1"/>
      <c r="D71" s="1"/>
      <c r="E71" s="1"/>
      <c r="F71" s="1"/>
      <c r="G71" s="36"/>
      <c r="H71" s="1"/>
      <c r="I71" s="1"/>
    </row>
    <row r="72" spans="1:9" x14ac:dyDescent="0.35">
      <c r="A72" s="1"/>
      <c r="B72" s="1"/>
      <c r="C72" s="1"/>
      <c r="D72" s="1"/>
      <c r="E72" s="1"/>
      <c r="F72" s="1"/>
      <c r="G72" s="36"/>
      <c r="H72" s="1"/>
      <c r="I72" s="1"/>
    </row>
    <row r="73" spans="1:9" x14ac:dyDescent="0.35">
      <c r="A73" s="1"/>
      <c r="B73" s="1"/>
      <c r="C73" s="1"/>
      <c r="D73" s="1"/>
      <c r="E73" s="1"/>
      <c r="F73" s="1"/>
      <c r="G73" s="36"/>
      <c r="H73" s="1"/>
      <c r="I73" s="1"/>
    </row>
    <row r="74" spans="1:9" x14ac:dyDescent="0.35">
      <c r="A74" s="1"/>
      <c r="B74" s="1"/>
      <c r="C74" s="1"/>
      <c r="D74" s="1"/>
      <c r="E74" s="1"/>
      <c r="F74" s="1"/>
      <c r="G74" s="36"/>
      <c r="H74" s="1"/>
      <c r="I74" s="1"/>
    </row>
    <row r="75" spans="1:9" x14ac:dyDescent="0.35">
      <c r="A75" s="1"/>
      <c r="B75" s="1"/>
      <c r="C75" s="1"/>
      <c r="D75" s="1"/>
      <c r="E75" s="1"/>
      <c r="F75" s="1"/>
      <c r="G75" s="36"/>
      <c r="H75" s="1"/>
      <c r="I75" s="1"/>
    </row>
    <row r="76" spans="1:9" x14ac:dyDescent="0.35">
      <c r="A76" s="1"/>
      <c r="B76" s="1"/>
      <c r="C76" s="1"/>
      <c r="D76" s="1"/>
      <c r="E76" s="1"/>
      <c r="F76" s="1"/>
      <c r="G76" s="36"/>
      <c r="H76" s="1"/>
      <c r="I76" s="1"/>
    </row>
    <row r="77" spans="1:9" x14ac:dyDescent="0.35">
      <c r="A77" s="1"/>
      <c r="B77" s="1"/>
      <c r="C77" s="1"/>
      <c r="D77" s="1"/>
      <c r="E77" s="1"/>
      <c r="F77" s="1"/>
      <c r="G77" s="36"/>
      <c r="H77" s="1"/>
      <c r="I77" s="1"/>
    </row>
    <row r="78" spans="1:9" x14ac:dyDescent="0.35">
      <c r="A78" s="1"/>
      <c r="B78" s="1"/>
      <c r="C78" s="1"/>
      <c r="D78" s="1"/>
      <c r="E78" s="1"/>
      <c r="F78" s="1"/>
      <c r="G78" s="36"/>
      <c r="H78" s="1"/>
      <c r="I78" s="1"/>
    </row>
    <row r="79" spans="1:9" x14ac:dyDescent="0.35">
      <c r="A79" s="1"/>
      <c r="B79" s="1"/>
      <c r="C79" s="1"/>
      <c r="D79" s="1"/>
      <c r="E79" s="1"/>
      <c r="F79" s="1"/>
      <c r="G79" s="36"/>
      <c r="H79" s="1"/>
      <c r="I79" s="1"/>
    </row>
    <row r="80" spans="1:9" x14ac:dyDescent="0.35">
      <c r="A80" s="1"/>
      <c r="B80" s="1"/>
      <c r="C80" s="1"/>
      <c r="D80" s="1"/>
      <c r="E80" s="1"/>
      <c r="F80" s="1"/>
      <c r="G80" s="36"/>
      <c r="H80" s="1"/>
      <c r="I80" s="1"/>
    </row>
    <row r="81" spans="1:9" x14ac:dyDescent="0.35">
      <c r="A81" s="1"/>
      <c r="B81" s="1"/>
      <c r="C81" s="1"/>
      <c r="D81" s="1"/>
      <c r="E81" s="1"/>
      <c r="F81" s="1"/>
      <c r="G81" s="36"/>
      <c r="H81" s="1"/>
      <c r="I81" s="1"/>
    </row>
    <row r="82" spans="1:9" x14ac:dyDescent="0.35">
      <c r="A82" s="1"/>
      <c r="B82" s="1"/>
      <c r="C82" s="1"/>
      <c r="D82" s="1"/>
      <c r="E82" s="1"/>
      <c r="F82" s="1"/>
      <c r="G82" s="36"/>
      <c r="H82" s="1"/>
      <c r="I82" s="1"/>
    </row>
    <row r="83" spans="1:9" x14ac:dyDescent="0.35">
      <c r="A83" s="1"/>
      <c r="B83" s="1"/>
      <c r="C83" s="1"/>
      <c r="D83" s="1"/>
      <c r="E83" s="1"/>
      <c r="F83" s="1"/>
      <c r="G83" s="36"/>
      <c r="H83" s="1"/>
      <c r="I83" s="1"/>
    </row>
    <row r="84" spans="1:9" x14ac:dyDescent="0.35">
      <c r="A84" s="1"/>
      <c r="B84" s="1"/>
      <c r="C84" s="1"/>
      <c r="D84" s="1"/>
      <c r="E84" s="1"/>
      <c r="F84" s="1"/>
      <c r="G84" s="36"/>
      <c r="H84" s="1"/>
      <c r="I84" s="1"/>
    </row>
    <row r="85" spans="1:9" x14ac:dyDescent="0.35">
      <c r="A85" s="1"/>
      <c r="B85" s="1"/>
      <c r="C85" s="1"/>
      <c r="D85" s="1"/>
      <c r="E85" s="1"/>
      <c r="F85" s="1"/>
      <c r="G85" s="36"/>
      <c r="H85" s="1"/>
      <c r="I85" s="1"/>
    </row>
    <row r="86" spans="1:9" x14ac:dyDescent="0.35">
      <c r="A86" s="1"/>
      <c r="B86" s="1"/>
      <c r="C86" s="1"/>
      <c r="D86" s="1"/>
      <c r="E86" s="1"/>
      <c r="F86" s="1"/>
      <c r="G86" s="36"/>
      <c r="H86" s="1"/>
      <c r="I86" s="1"/>
    </row>
    <row r="87" spans="1:9" x14ac:dyDescent="0.35">
      <c r="A87" s="1"/>
      <c r="B87" s="1"/>
      <c r="C87" s="1"/>
      <c r="D87" s="1"/>
      <c r="E87" s="1"/>
      <c r="F87" s="1"/>
      <c r="G87" s="36"/>
      <c r="H87" s="1"/>
      <c r="I87" s="1"/>
    </row>
    <row r="88" spans="1:9" x14ac:dyDescent="0.35">
      <c r="A88" s="1"/>
      <c r="B88" s="1"/>
      <c r="C88" s="1"/>
      <c r="D88" s="1"/>
      <c r="E88" s="1"/>
      <c r="F88" s="1"/>
      <c r="G88" s="36"/>
      <c r="H88" s="1"/>
      <c r="I88" s="1"/>
    </row>
    <row r="89" spans="1:9" x14ac:dyDescent="0.35">
      <c r="A89" s="1"/>
      <c r="B89" s="1"/>
      <c r="C89" s="1"/>
      <c r="D89" s="1"/>
      <c r="E89" s="1"/>
      <c r="F89" s="1"/>
      <c r="G89" s="36"/>
      <c r="H89" s="1"/>
      <c r="I89" s="1"/>
    </row>
    <row r="90" spans="1:9" x14ac:dyDescent="0.35">
      <c r="A90" s="1"/>
      <c r="B90" s="1"/>
      <c r="C90" s="1"/>
      <c r="D90" s="1"/>
      <c r="E90" s="1"/>
      <c r="F90" s="1"/>
      <c r="G90" s="36"/>
      <c r="H90" s="1"/>
      <c r="I90" s="1"/>
    </row>
    <row r="91" spans="1:9" x14ac:dyDescent="0.35">
      <c r="A91" s="1"/>
      <c r="B91" s="1"/>
      <c r="C91" s="1"/>
      <c r="D91" s="1"/>
      <c r="E91" s="1"/>
      <c r="F91" s="1"/>
      <c r="G91" s="36"/>
      <c r="H91" s="1"/>
      <c r="I91" s="1"/>
    </row>
    <row r="92" spans="1:9" x14ac:dyDescent="0.35">
      <c r="A92" s="1"/>
      <c r="B92" s="1"/>
      <c r="C92" s="1"/>
      <c r="D92" s="1"/>
      <c r="E92" s="1"/>
      <c r="F92" s="1"/>
      <c r="G92" s="36"/>
      <c r="H92" s="1"/>
      <c r="I92" s="1"/>
    </row>
    <row r="93" spans="1:9" x14ac:dyDescent="0.35">
      <c r="A93" s="1"/>
      <c r="B93" s="1"/>
      <c r="C93" s="1"/>
      <c r="D93" s="1"/>
      <c r="E93" s="1"/>
      <c r="F93" s="1"/>
      <c r="G93" s="36"/>
      <c r="H93" s="1"/>
      <c r="I93" s="1"/>
    </row>
    <row r="94" spans="1:9" x14ac:dyDescent="0.35">
      <c r="A94" s="1"/>
      <c r="B94" s="1"/>
      <c r="C94" s="1"/>
      <c r="D94" s="1"/>
      <c r="E94" s="1"/>
      <c r="F94" s="1"/>
      <c r="G94" s="36"/>
      <c r="H94" s="1"/>
      <c r="I94" s="1"/>
    </row>
    <row r="95" spans="1:9" x14ac:dyDescent="0.35">
      <c r="A95" s="1"/>
      <c r="B95" s="1"/>
      <c r="C95" s="1"/>
      <c r="D95" s="1"/>
      <c r="E95" s="1"/>
      <c r="F95" s="1"/>
      <c r="G95" s="36"/>
      <c r="H95" s="1"/>
      <c r="I95" s="1"/>
    </row>
    <row r="96" spans="1:9" x14ac:dyDescent="0.35">
      <c r="A96" s="1"/>
      <c r="B96" s="1"/>
      <c r="C96" s="1"/>
      <c r="D96" s="1"/>
      <c r="E96" s="1"/>
      <c r="F96" s="1"/>
      <c r="G96" s="36"/>
      <c r="H96" s="1"/>
      <c r="I96" s="1"/>
    </row>
    <row r="97" spans="1:9" x14ac:dyDescent="0.35">
      <c r="A97" s="1"/>
      <c r="B97" s="1"/>
      <c r="C97" s="1"/>
      <c r="D97" s="1"/>
      <c r="E97" s="1"/>
      <c r="F97" s="1"/>
      <c r="G97" s="36"/>
      <c r="H97" s="1"/>
      <c r="I97" s="1"/>
    </row>
    <row r="98" spans="1:9" x14ac:dyDescent="0.35">
      <c r="A98" s="1"/>
      <c r="B98" s="1"/>
      <c r="C98" s="1"/>
      <c r="D98" s="1"/>
      <c r="E98" s="1"/>
      <c r="F98" s="1"/>
      <c r="G98" s="36"/>
      <c r="H98" s="1"/>
      <c r="I98" s="1"/>
    </row>
    <row r="99" spans="1:9" x14ac:dyDescent="0.35">
      <c r="A99" s="1"/>
      <c r="B99" s="1"/>
      <c r="C99" s="1"/>
      <c r="D99" s="1"/>
      <c r="E99" s="1"/>
      <c r="F99" s="1"/>
      <c r="G99" s="36"/>
      <c r="H99" s="1"/>
      <c r="I99" s="1"/>
    </row>
    <row r="100" spans="1:9" x14ac:dyDescent="0.35">
      <c r="A100" s="1"/>
      <c r="B100" s="1"/>
      <c r="C100" s="1"/>
      <c r="D100" s="1"/>
      <c r="E100" s="1"/>
      <c r="F100" s="1"/>
      <c r="G100" s="36"/>
      <c r="H100" s="1"/>
      <c r="I100" s="1"/>
    </row>
  </sheetData>
  <sheetProtection algorithmName="SHA-512" hashValue="YE65SNlsaSSRnJ23pb05Cau0iSOLSKuHz7EmIvxRwtoGMNQv50IK8ZCBg8AF9QhsueWo3ogCCdzm/HQy+UZ+YQ==" saltValue="m4w3ZNZW3qPfwFX7XmNpvA=="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796875" defaultRowHeight="14.5" x14ac:dyDescent="0.35"/>
  <cols>
    <col min="1" max="1" width="2.81640625" style="2" customWidth="1"/>
    <col min="2" max="5" width="9.1796875" style="2"/>
    <col min="6" max="6" width="25.7265625" style="2" customWidth="1"/>
    <col min="7" max="7" width="10.26953125" style="2" customWidth="1"/>
    <col min="8" max="8" width="2.81640625" style="2" bestFit="1" customWidth="1"/>
    <col min="9" max="9" width="2.81640625" style="2" customWidth="1"/>
    <col min="10" max="16384" width="9.1796875" style="2"/>
  </cols>
  <sheetData>
    <row r="1" spans="1:9" x14ac:dyDescent="0.35">
      <c r="A1" s="1"/>
      <c r="B1" s="107" t="s">
        <v>91</v>
      </c>
      <c r="C1" s="108"/>
      <c r="D1" s="108"/>
      <c r="E1" s="108"/>
      <c r="F1" s="108"/>
      <c r="G1" s="108"/>
      <c r="H1" s="108"/>
      <c r="I1" s="1"/>
    </row>
    <row r="2" spans="1:9" ht="19.899999999999999" customHeight="1" x14ac:dyDescent="0.35">
      <c r="A2" s="1"/>
      <c r="B2" s="108"/>
      <c r="C2" s="108"/>
      <c r="D2" s="108"/>
      <c r="E2" s="108"/>
      <c r="F2" s="108"/>
      <c r="G2" s="108"/>
      <c r="H2" s="108"/>
      <c r="I2" s="1"/>
    </row>
    <row r="3" spans="1:9" ht="15" customHeight="1" x14ac:dyDescent="0.35">
      <c r="A3" s="1"/>
      <c r="B3" s="109"/>
      <c r="C3" s="109"/>
      <c r="D3" s="109"/>
      <c r="E3" s="109"/>
      <c r="F3" s="109"/>
      <c r="G3" s="109"/>
      <c r="H3" s="109"/>
      <c r="I3" s="1"/>
    </row>
    <row r="4" spans="1:9" x14ac:dyDescent="0.35">
      <c r="A4" s="1"/>
      <c r="B4" s="104" t="s">
        <v>48</v>
      </c>
      <c r="C4" s="105"/>
      <c r="D4" s="105"/>
      <c r="E4" s="105"/>
      <c r="F4" s="105"/>
      <c r="G4" s="105"/>
      <c r="H4" s="106"/>
      <c r="I4" s="1"/>
    </row>
    <row r="5" spans="1:9" x14ac:dyDescent="0.35">
      <c r="A5" s="1"/>
      <c r="B5" s="98" t="s">
        <v>51</v>
      </c>
      <c r="C5" s="99"/>
      <c r="D5" s="99"/>
      <c r="E5" s="99"/>
      <c r="F5" s="100"/>
      <c r="G5" s="47">
        <v>9366911.7696834467</v>
      </c>
      <c r="H5" s="14" t="s">
        <v>3</v>
      </c>
      <c r="I5" s="1"/>
    </row>
    <row r="6" spans="1:9" x14ac:dyDescent="0.35">
      <c r="A6" s="1"/>
      <c r="B6" s="98" t="s">
        <v>49</v>
      </c>
      <c r="C6" s="99"/>
      <c r="D6" s="99"/>
      <c r="E6" s="99"/>
      <c r="F6" s="100"/>
      <c r="G6" s="22">
        <f>G5*'Fane 13. Nøgletal'!C21</f>
        <v>85238.897104119373</v>
      </c>
      <c r="H6" s="14" t="s">
        <v>3</v>
      </c>
      <c r="I6" s="1"/>
    </row>
    <row r="7" spans="1:9" x14ac:dyDescent="0.35">
      <c r="A7" s="1"/>
      <c r="B7" s="53"/>
      <c r="C7" s="54"/>
      <c r="D7" s="54"/>
      <c r="E7" s="54"/>
      <c r="F7" s="54"/>
      <c r="G7" s="54"/>
      <c r="H7" s="19"/>
      <c r="I7" s="1"/>
    </row>
    <row r="8" spans="1:9" x14ac:dyDescent="0.35">
      <c r="A8" s="1"/>
      <c r="B8" s="1"/>
      <c r="C8" s="1"/>
      <c r="D8" s="1"/>
      <c r="E8" s="1"/>
      <c r="F8" s="1"/>
      <c r="G8" s="1"/>
      <c r="H8" s="1"/>
      <c r="I8" s="1"/>
    </row>
    <row r="9" spans="1:9" x14ac:dyDescent="0.35">
      <c r="A9" s="1"/>
      <c r="B9" s="104" t="s">
        <v>52</v>
      </c>
      <c r="C9" s="105"/>
      <c r="D9" s="105"/>
      <c r="E9" s="105"/>
      <c r="F9" s="105"/>
      <c r="G9" s="105"/>
      <c r="H9" s="106"/>
      <c r="I9" s="1"/>
    </row>
    <row r="10" spans="1:9" x14ac:dyDescent="0.35">
      <c r="A10" s="1"/>
      <c r="B10" s="98" t="s">
        <v>53</v>
      </c>
      <c r="C10" s="99"/>
      <c r="D10" s="99"/>
      <c r="E10" s="99"/>
      <c r="F10" s="100"/>
      <c r="G10" s="22">
        <f>(G5-G6)*(1+'Fane 13. Nøgletal'!C9)</f>
        <v>9399550.1180610843</v>
      </c>
      <c r="H10" s="14" t="s">
        <v>3</v>
      </c>
      <c r="I10" s="1"/>
    </row>
    <row r="11" spans="1:9" x14ac:dyDescent="0.35">
      <c r="A11" s="1"/>
      <c r="B11" s="101" t="s">
        <v>54</v>
      </c>
      <c r="C11" s="102"/>
      <c r="D11" s="102"/>
      <c r="E11" s="102"/>
      <c r="F11" s="103"/>
      <c r="G11" s="48">
        <v>0</v>
      </c>
      <c r="H11" s="14" t="s">
        <v>3</v>
      </c>
      <c r="I11" s="1"/>
    </row>
    <row r="12" spans="1:9" x14ac:dyDescent="0.35">
      <c r="A12" s="1"/>
      <c r="B12" s="98" t="s">
        <v>55</v>
      </c>
      <c r="C12" s="99"/>
      <c r="D12" s="99"/>
      <c r="E12" s="99"/>
      <c r="F12" s="100"/>
      <c r="G12" s="22">
        <f>G10*'Fane 13. Nøgletal'!C21+G11*'Fane 13. Nøgletal'!C22</f>
        <v>85535.906074355866</v>
      </c>
      <c r="H12" s="14" t="s">
        <v>3</v>
      </c>
      <c r="I12" s="1"/>
    </row>
    <row r="13" spans="1:9" x14ac:dyDescent="0.35">
      <c r="A13" s="1"/>
      <c r="B13" s="53"/>
      <c r="C13" s="54"/>
      <c r="D13" s="54"/>
      <c r="E13" s="54"/>
      <c r="F13" s="54"/>
      <c r="G13" s="54"/>
      <c r="H13" s="19"/>
      <c r="I13" s="1"/>
    </row>
    <row r="14" spans="1:9" x14ac:dyDescent="0.35">
      <c r="A14" s="1"/>
      <c r="B14" s="1"/>
      <c r="C14" s="1"/>
      <c r="D14" s="1"/>
      <c r="E14" s="1"/>
      <c r="F14" s="1"/>
      <c r="G14" s="1"/>
      <c r="H14" s="1"/>
      <c r="I14" s="1"/>
    </row>
    <row r="15" spans="1:9" x14ac:dyDescent="0.35">
      <c r="A15" s="1"/>
      <c r="B15" s="104" t="s">
        <v>56</v>
      </c>
      <c r="C15" s="105"/>
      <c r="D15" s="105"/>
      <c r="E15" s="105"/>
      <c r="F15" s="105"/>
      <c r="G15" s="105"/>
      <c r="H15" s="106"/>
      <c r="I15" s="1"/>
    </row>
    <row r="16" spans="1:9" x14ac:dyDescent="0.35">
      <c r="A16" s="1"/>
      <c r="B16" s="98" t="s">
        <v>57</v>
      </c>
      <c r="C16" s="99"/>
      <c r="D16" s="99"/>
      <c r="E16" s="99"/>
      <c r="F16" s="100"/>
      <c r="G16" s="22">
        <f>(G10+G11-G12)*(1+'Fane 13. Nøgletal'!C11)</f>
        <v>9471421.0521693025</v>
      </c>
      <c r="H16" s="14" t="s">
        <v>3</v>
      </c>
      <c r="I16" s="1"/>
    </row>
    <row r="17" spans="1:9" x14ac:dyDescent="0.35">
      <c r="A17" s="1"/>
      <c r="B17" s="98" t="s">
        <v>101</v>
      </c>
      <c r="C17" s="99"/>
      <c r="D17" s="99"/>
      <c r="E17" s="99"/>
      <c r="F17" s="100"/>
      <c r="G17" s="47">
        <v>14259.843374698376</v>
      </c>
      <c r="H17" s="14" t="s">
        <v>3</v>
      </c>
      <c r="I17" s="1"/>
    </row>
    <row r="18" spans="1:9" x14ac:dyDescent="0.35">
      <c r="A18" s="1"/>
      <c r="B18" s="101" t="s">
        <v>58</v>
      </c>
      <c r="C18" s="102"/>
      <c r="D18" s="102"/>
      <c r="E18" s="102"/>
      <c r="F18" s="103"/>
      <c r="G18" s="47">
        <v>437315.83855460992</v>
      </c>
      <c r="H18" s="14" t="s">
        <v>3</v>
      </c>
      <c r="I18" s="1"/>
    </row>
    <row r="19" spans="1:9" x14ac:dyDescent="0.35">
      <c r="A19" s="1"/>
      <c r="B19" s="98" t="s">
        <v>59</v>
      </c>
      <c r="C19" s="99"/>
      <c r="D19" s="99"/>
      <c r="E19" s="99"/>
      <c r="F19" s="100"/>
      <c r="G19" s="22">
        <f>(G16+G17+G18)*'Fane 13. Nøgletal'!C23</f>
        <v>86330.071586657898</v>
      </c>
      <c r="H19" s="14" t="s">
        <v>3</v>
      </c>
      <c r="I19" s="1"/>
    </row>
    <row r="20" spans="1:9" x14ac:dyDescent="0.35">
      <c r="A20" s="1"/>
      <c r="B20" s="53"/>
      <c r="C20" s="54"/>
      <c r="D20" s="54"/>
      <c r="E20" s="54"/>
      <c r="F20" s="54"/>
      <c r="G20" s="54"/>
      <c r="H20" s="19"/>
      <c r="I20" s="1"/>
    </row>
    <row r="21" spans="1:9" x14ac:dyDescent="0.35">
      <c r="A21" s="1"/>
      <c r="B21" s="1"/>
      <c r="C21" s="1"/>
      <c r="D21" s="1"/>
      <c r="E21" s="1"/>
      <c r="F21" s="1"/>
      <c r="G21" s="1"/>
      <c r="H21" s="1"/>
      <c r="I21" s="1"/>
    </row>
    <row r="22" spans="1:9" x14ac:dyDescent="0.35">
      <c r="A22" s="1"/>
      <c r="B22" s="104" t="s">
        <v>60</v>
      </c>
      <c r="C22" s="105"/>
      <c r="D22" s="105"/>
      <c r="E22" s="105"/>
      <c r="F22" s="105"/>
      <c r="G22" s="105"/>
      <c r="H22" s="106"/>
      <c r="I22" s="1"/>
    </row>
    <row r="23" spans="1:9" x14ac:dyDescent="0.35">
      <c r="A23" s="1"/>
      <c r="B23" s="98" t="s">
        <v>61</v>
      </c>
      <c r="C23" s="99"/>
      <c r="D23" s="99"/>
      <c r="E23" s="99"/>
      <c r="F23" s="100"/>
      <c r="G23" s="22">
        <f>(SUM(G16:G18)-G19)*(1+'Fane 13. Nøgletal'!C11)</f>
        <v>10002906.329108404</v>
      </c>
      <c r="H23" s="14" t="s">
        <v>3</v>
      </c>
      <c r="I23" s="1"/>
    </row>
    <row r="24" spans="1:9" x14ac:dyDescent="0.35">
      <c r="A24" s="1"/>
      <c r="B24" s="101" t="s">
        <v>62</v>
      </c>
      <c r="C24" s="102"/>
      <c r="D24" s="102"/>
      <c r="E24" s="102"/>
      <c r="F24" s="103"/>
      <c r="G24" s="47">
        <v>1253165.08352508</v>
      </c>
      <c r="H24" s="14" t="s">
        <v>3</v>
      </c>
      <c r="I24" s="1"/>
    </row>
    <row r="25" spans="1:9" x14ac:dyDescent="0.35">
      <c r="A25" s="1"/>
      <c r="B25" s="98" t="s">
        <v>63</v>
      </c>
      <c r="C25" s="99"/>
      <c r="D25" s="99"/>
      <c r="E25" s="99"/>
      <c r="F25" s="100"/>
      <c r="G25" s="22">
        <f>G23*'Fane 13. Nøgletal'!C23+G24*'Fane 13. Nøgletal'!C24</f>
        <v>122615.17343535539</v>
      </c>
      <c r="H25" s="14" t="s">
        <v>3</v>
      </c>
      <c r="I25" s="1"/>
    </row>
    <row r="26" spans="1:9" x14ac:dyDescent="0.35">
      <c r="A26" s="1"/>
      <c r="B26" s="53"/>
      <c r="C26" s="54"/>
      <c r="D26" s="54"/>
      <c r="E26" s="54"/>
      <c r="F26" s="54"/>
      <c r="G26" s="54"/>
      <c r="H26" s="19"/>
      <c r="I26" s="1"/>
    </row>
    <row r="27" spans="1:9" x14ac:dyDescent="0.35">
      <c r="A27" s="1"/>
      <c r="B27" s="1"/>
      <c r="C27" s="1"/>
      <c r="D27" s="1"/>
      <c r="E27" s="1"/>
      <c r="F27" s="1"/>
      <c r="G27" s="1"/>
      <c r="H27" s="1"/>
      <c r="I27" s="1"/>
    </row>
    <row r="28" spans="1:9" x14ac:dyDescent="0.35">
      <c r="A28" s="1"/>
      <c r="B28" s="104" t="s">
        <v>119</v>
      </c>
      <c r="C28" s="105"/>
      <c r="D28" s="105"/>
      <c r="E28" s="105"/>
      <c r="F28" s="105"/>
      <c r="G28" s="105"/>
      <c r="H28" s="106"/>
      <c r="I28" s="1"/>
    </row>
    <row r="29" spans="1:9" x14ac:dyDescent="0.35">
      <c r="A29" s="1"/>
      <c r="B29" s="98" t="s">
        <v>64</v>
      </c>
      <c r="C29" s="99"/>
      <c r="D29" s="99"/>
      <c r="E29" s="99"/>
      <c r="F29" s="100"/>
      <c r="G29" s="22">
        <f>(G23+G24-G25)*(1+'Fane 13. Nøgletal'!C13)</f>
        <v>11269284.405316347</v>
      </c>
      <c r="H29" s="14" t="s">
        <v>3</v>
      </c>
      <c r="I29" s="1"/>
    </row>
    <row r="30" spans="1:9" x14ac:dyDescent="0.35">
      <c r="A30" s="1"/>
      <c r="B30" s="98" t="s">
        <v>113</v>
      </c>
      <c r="C30" s="99"/>
      <c r="D30" s="99"/>
      <c r="E30" s="99"/>
      <c r="F30" s="100"/>
      <c r="G30" s="47">
        <v>105298.007031</v>
      </c>
      <c r="H30" s="14" t="s">
        <v>3</v>
      </c>
      <c r="I30" s="1"/>
    </row>
    <row r="31" spans="1:9" x14ac:dyDescent="0.35">
      <c r="A31" s="1"/>
      <c r="B31" s="98" t="s">
        <v>120</v>
      </c>
      <c r="C31" s="99"/>
      <c r="D31" s="99"/>
      <c r="E31" s="99"/>
      <c r="F31" s="100"/>
      <c r="G31" s="22">
        <f>(G29+G30)*'Fane 13. Nøgletal'!C25</f>
        <v>312801.01633955201</v>
      </c>
      <c r="H31" s="14" t="s">
        <v>3</v>
      </c>
      <c r="I31" s="1"/>
    </row>
    <row r="32" spans="1:9" x14ac:dyDescent="0.35">
      <c r="A32" s="1"/>
      <c r="B32" s="53"/>
      <c r="C32" s="54"/>
      <c r="D32" s="54"/>
      <c r="E32" s="54"/>
      <c r="F32" s="54"/>
      <c r="G32" s="54"/>
      <c r="H32" s="19"/>
      <c r="I32" s="1"/>
    </row>
    <row r="33" spans="1:9" x14ac:dyDescent="0.35">
      <c r="A33" s="1"/>
      <c r="B33" s="1"/>
      <c r="C33" s="1"/>
      <c r="D33" s="1"/>
      <c r="E33" s="1"/>
      <c r="F33" s="1"/>
      <c r="G33" s="1"/>
      <c r="H33" s="1"/>
      <c r="I33" s="1"/>
    </row>
    <row r="34" spans="1:9" x14ac:dyDescent="0.35">
      <c r="A34" s="1"/>
      <c r="B34" s="104" t="s">
        <v>124</v>
      </c>
      <c r="C34" s="105"/>
      <c r="D34" s="105"/>
      <c r="E34" s="105"/>
      <c r="F34" s="105"/>
      <c r="G34" s="105"/>
      <c r="H34" s="106"/>
      <c r="I34" s="1"/>
    </row>
    <row r="35" spans="1:9" x14ac:dyDescent="0.35">
      <c r="A35" s="1"/>
      <c r="B35" s="98" t="s">
        <v>67</v>
      </c>
      <c r="C35" s="99"/>
      <c r="D35" s="99"/>
      <c r="E35" s="99"/>
      <c r="F35" s="100"/>
      <c r="G35" s="22">
        <f>(G29+G30-G31)*(1+'Fane 13. Nøgletal'!C13)</f>
        <v>11196735.12903909</v>
      </c>
      <c r="H35" s="14" t="s">
        <v>3</v>
      </c>
      <c r="I35" s="1"/>
    </row>
    <row r="36" spans="1:9" x14ac:dyDescent="0.35">
      <c r="A36" s="1"/>
      <c r="B36" s="98" t="s">
        <v>129</v>
      </c>
      <c r="C36" s="99"/>
      <c r="D36" s="99"/>
      <c r="E36" s="99"/>
      <c r="F36" s="100"/>
      <c r="G36" s="22">
        <v>1262158.1900334102</v>
      </c>
      <c r="H36" s="14" t="s">
        <v>3</v>
      </c>
      <c r="I36" s="1"/>
    </row>
    <row r="37" spans="1:9" x14ac:dyDescent="0.35">
      <c r="A37" s="1"/>
      <c r="B37" s="98" t="s">
        <v>125</v>
      </c>
      <c r="C37" s="99"/>
      <c r="D37" s="99"/>
      <c r="E37" s="99"/>
      <c r="F37" s="100"/>
      <c r="G37" s="22">
        <f>G35*'Fane 13. Nøgletal'!C25+G36*'Fane 13. Nøgletal'!C26</f>
        <v>326590.15726106946</v>
      </c>
      <c r="H37" s="14" t="s">
        <v>3</v>
      </c>
      <c r="I37" s="1"/>
    </row>
    <row r="38" spans="1:9" x14ac:dyDescent="0.35">
      <c r="A38" s="1"/>
      <c r="B38" s="53"/>
      <c r="C38" s="54"/>
      <c r="D38" s="54"/>
      <c r="E38" s="54"/>
      <c r="F38" s="54"/>
      <c r="G38" s="54"/>
      <c r="H38" s="19"/>
      <c r="I38" s="1"/>
    </row>
    <row r="39" spans="1:9" x14ac:dyDescent="0.35">
      <c r="A39" s="1"/>
      <c r="B39" s="1"/>
      <c r="C39" s="1"/>
      <c r="D39" s="1"/>
      <c r="E39" s="1"/>
      <c r="F39" s="1"/>
      <c r="G39" s="1"/>
      <c r="H39" s="1"/>
      <c r="I39" s="1"/>
    </row>
    <row r="40" spans="1:9" x14ac:dyDescent="0.35">
      <c r="A40" s="1"/>
      <c r="B40" s="104" t="s">
        <v>159</v>
      </c>
      <c r="C40" s="105"/>
      <c r="D40" s="105"/>
      <c r="E40" s="105"/>
      <c r="F40" s="105"/>
      <c r="G40" s="105"/>
      <c r="H40" s="106"/>
      <c r="I40" s="1"/>
    </row>
    <row r="41" spans="1:9" x14ac:dyDescent="0.35">
      <c r="A41" s="1"/>
      <c r="B41" s="98" t="s">
        <v>66</v>
      </c>
      <c r="C41" s="99"/>
      <c r="D41" s="99"/>
      <c r="E41" s="99"/>
      <c r="F41" s="100"/>
      <c r="G41" s="22">
        <f>(G35+G36-G37)*(1+'Fane 13. Nøgletal'!C15)</f>
        <v>12564213.154371917</v>
      </c>
      <c r="H41" s="14" t="s">
        <v>3</v>
      </c>
      <c r="I41" s="1"/>
    </row>
    <row r="42" spans="1:9" x14ac:dyDescent="0.35">
      <c r="A42" s="1"/>
      <c r="B42" s="98" t="s">
        <v>169</v>
      </c>
      <c r="C42" s="99"/>
      <c r="D42" s="99"/>
      <c r="E42" s="99"/>
      <c r="F42" s="100"/>
      <c r="G42" s="9">
        <v>1930210.6675176003</v>
      </c>
      <c r="H42" s="14" t="s">
        <v>3</v>
      </c>
      <c r="I42" s="1"/>
    </row>
    <row r="43" spans="1:9" x14ac:dyDescent="0.35">
      <c r="A43" s="1"/>
      <c r="B43" s="98" t="s">
        <v>65</v>
      </c>
      <c r="C43" s="99"/>
      <c r="D43" s="99"/>
      <c r="E43" s="99"/>
      <c r="F43" s="100"/>
      <c r="G43" s="75">
        <f>(G41+G42)*'Fane 13. Nøgletal'!C27</f>
        <v>0</v>
      </c>
      <c r="H43" s="14" t="s">
        <v>3</v>
      </c>
      <c r="I43" s="1"/>
    </row>
    <row r="44" spans="1:9" x14ac:dyDescent="0.35">
      <c r="A44" s="1"/>
      <c r="B44" s="53"/>
      <c r="C44" s="54"/>
      <c r="D44" s="54"/>
      <c r="E44" s="54"/>
      <c r="F44" s="54"/>
      <c r="G44" s="54"/>
      <c r="H44" s="19"/>
      <c r="I44" s="1"/>
    </row>
    <row r="45" spans="1:9" ht="12" customHeight="1" x14ac:dyDescent="0.35">
      <c r="A45" s="1"/>
      <c r="B45" s="1"/>
      <c r="C45" s="1"/>
      <c r="D45" s="1"/>
      <c r="E45" s="1"/>
      <c r="F45" s="1"/>
      <c r="G45" s="1"/>
      <c r="H45" s="1"/>
      <c r="I45" s="1"/>
    </row>
    <row r="46" spans="1:9" x14ac:dyDescent="0.35">
      <c r="A46" s="1"/>
      <c r="B46" s="104" t="s">
        <v>160</v>
      </c>
      <c r="C46" s="105"/>
      <c r="D46" s="105"/>
      <c r="E46" s="105"/>
      <c r="F46" s="105"/>
      <c r="G46" s="105"/>
      <c r="H46" s="106"/>
      <c r="I46" s="1"/>
    </row>
    <row r="47" spans="1:9" x14ac:dyDescent="0.35">
      <c r="A47" s="1"/>
      <c r="B47" s="98" t="s">
        <v>114</v>
      </c>
      <c r="C47" s="99"/>
      <c r="D47" s="99"/>
      <c r="E47" s="99"/>
      <c r="F47" s="100"/>
      <c r="G47" s="22">
        <f>(G41+G42-G43)*(1+'Fane 13. Nøgletal'!C15)</f>
        <v>15010425.309948785</v>
      </c>
      <c r="H47" s="14" t="s">
        <v>3</v>
      </c>
      <c r="I47" s="1"/>
    </row>
    <row r="48" spans="1:9" x14ac:dyDescent="0.35">
      <c r="A48" s="1"/>
      <c r="B48" s="98" t="s">
        <v>210</v>
      </c>
      <c r="C48" s="99"/>
      <c r="D48" s="99"/>
      <c r="E48" s="99"/>
      <c r="F48" s="100"/>
      <c r="G48" s="75">
        <f>('Fane 2.1. Økonomisk ramme 2024'!C10+'Fane 2.1. Økonomisk ramme 2024'!C12+'Fane 2.1. Økonomisk ramme 2024'!C14)*(1+'Fane 13. Nøgletal'!C16)</f>
        <v>0</v>
      </c>
      <c r="H48" s="14" t="s">
        <v>3</v>
      </c>
      <c r="I48" s="1"/>
    </row>
    <row r="49" spans="1:9" x14ac:dyDescent="0.35">
      <c r="A49" s="1"/>
      <c r="B49" s="98" t="s">
        <v>211</v>
      </c>
      <c r="C49" s="99"/>
      <c r="D49" s="99"/>
      <c r="E49" s="99"/>
      <c r="F49" s="100"/>
      <c r="G49" s="75">
        <f>(G47)*'Fane 13. Nøgletal'!C27+G48*'Fane 13. Nøgletal'!C28</f>
        <v>0</v>
      </c>
      <c r="H49" s="14" t="s">
        <v>3</v>
      </c>
      <c r="I49" s="1"/>
    </row>
    <row r="50" spans="1:9" x14ac:dyDescent="0.35">
      <c r="A50" s="1"/>
      <c r="B50" s="53"/>
      <c r="C50" s="54"/>
      <c r="D50" s="54"/>
      <c r="E50" s="54"/>
      <c r="F50" s="54"/>
      <c r="G50" s="54"/>
      <c r="H50" s="19"/>
      <c r="I50" s="1"/>
    </row>
    <row r="51" spans="1:9" x14ac:dyDescent="0.35">
      <c r="A51" s="1"/>
      <c r="B51" s="1"/>
      <c r="C51" s="1"/>
      <c r="D51" s="1"/>
      <c r="E51" s="1"/>
      <c r="F51" s="1"/>
      <c r="G51" s="1"/>
      <c r="H51" s="1"/>
      <c r="I51" s="1"/>
    </row>
    <row r="52" spans="1:9" x14ac:dyDescent="0.35">
      <c r="A52" s="1"/>
      <c r="B52" s="104" t="s">
        <v>130</v>
      </c>
      <c r="C52" s="105"/>
      <c r="D52" s="105"/>
      <c r="E52" s="105"/>
      <c r="F52" s="105"/>
      <c r="G52" s="105"/>
      <c r="H52" s="106"/>
      <c r="I52" s="1"/>
    </row>
    <row r="53" spans="1:9" x14ac:dyDescent="0.35">
      <c r="A53" s="1"/>
      <c r="B53" s="98" t="s">
        <v>131</v>
      </c>
      <c r="C53" s="99"/>
      <c r="D53" s="99"/>
      <c r="E53" s="99"/>
      <c r="F53" s="100"/>
      <c r="G53" s="22">
        <f>(G47+G48-G49)*(1+'Fane 13. Nøgletal'!C16)</f>
        <v>16223267.674992647</v>
      </c>
      <c r="H53" s="14" t="s">
        <v>3</v>
      </c>
      <c r="I53" s="1"/>
    </row>
    <row r="54" spans="1:9" x14ac:dyDescent="0.35">
      <c r="A54" s="1"/>
      <c r="B54" s="98" t="s">
        <v>132</v>
      </c>
      <c r="C54" s="99"/>
      <c r="D54" s="99"/>
      <c r="E54" s="99"/>
      <c r="F54" s="100"/>
      <c r="G54" s="75">
        <f>(G53)*'Fane 13. Nøgletal'!C28</f>
        <v>0</v>
      </c>
      <c r="H54" s="14" t="s">
        <v>3</v>
      </c>
      <c r="I54" s="1"/>
    </row>
    <row r="55" spans="1:9" x14ac:dyDescent="0.35">
      <c r="A55" s="1"/>
      <c r="B55" s="53"/>
      <c r="C55" s="54"/>
      <c r="D55" s="54"/>
      <c r="E55" s="54"/>
      <c r="F55" s="54"/>
      <c r="G55" s="54"/>
      <c r="H55" s="19"/>
      <c r="I55" s="1"/>
    </row>
    <row r="56" spans="1:9" x14ac:dyDescent="0.35">
      <c r="A56" s="1"/>
      <c r="B56" s="1"/>
      <c r="C56" s="1"/>
      <c r="D56" s="1"/>
      <c r="E56" s="1"/>
      <c r="F56" s="1"/>
      <c r="G56" s="1"/>
      <c r="H56" s="1"/>
      <c r="I56" s="1"/>
    </row>
    <row r="57" spans="1:9" x14ac:dyDescent="0.35">
      <c r="A57" s="1"/>
      <c r="B57" s="104" t="s">
        <v>147</v>
      </c>
      <c r="C57" s="105"/>
      <c r="D57" s="105"/>
      <c r="E57" s="105"/>
      <c r="F57" s="105"/>
      <c r="G57" s="105"/>
      <c r="H57" s="106"/>
      <c r="I57" s="1"/>
    </row>
    <row r="58" spans="1:9" x14ac:dyDescent="0.35">
      <c r="A58" s="1"/>
      <c r="B58" s="98" t="s">
        <v>148</v>
      </c>
      <c r="C58" s="99"/>
      <c r="D58" s="99"/>
      <c r="E58" s="99"/>
      <c r="F58" s="100"/>
      <c r="G58" s="22">
        <f>(G53-G54)*(1+'Fane 13. Nøgletal'!C16)</f>
        <v>17534107.703132052</v>
      </c>
      <c r="H58" s="14" t="s">
        <v>3</v>
      </c>
      <c r="I58" s="1"/>
    </row>
    <row r="59" spans="1:9" x14ac:dyDescent="0.35">
      <c r="A59" s="1"/>
      <c r="B59" s="98" t="s">
        <v>149</v>
      </c>
      <c r="C59" s="99"/>
      <c r="D59" s="99"/>
      <c r="E59" s="99"/>
      <c r="F59" s="100"/>
      <c r="G59" s="75">
        <f>(G58)*'Fane 13. Nøgletal'!C28</f>
        <v>0</v>
      </c>
      <c r="H59" s="14" t="s">
        <v>3</v>
      </c>
      <c r="I59" s="1"/>
    </row>
    <row r="60" spans="1:9" x14ac:dyDescent="0.35">
      <c r="A60" s="1"/>
      <c r="B60" s="53"/>
      <c r="C60" s="54"/>
      <c r="D60" s="54"/>
      <c r="E60" s="54"/>
      <c r="F60" s="54"/>
      <c r="G60" s="54"/>
      <c r="H60" s="19"/>
      <c r="I60" s="1"/>
    </row>
    <row r="61" spans="1:9" x14ac:dyDescent="0.35">
      <c r="A61" s="1"/>
      <c r="B61" s="1"/>
      <c r="C61" s="1"/>
      <c r="D61" s="1"/>
      <c r="E61" s="1"/>
      <c r="F61" s="1"/>
      <c r="G61" s="1"/>
      <c r="H61" s="1"/>
      <c r="I61" s="1"/>
    </row>
    <row r="62" spans="1:9" x14ac:dyDescent="0.35">
      <c r="A62" s="1"/>
      <c r="B62" s="104" t="s">
        <v>223</v>
      </c>
      <c r="C62" s="105"/>
      <c r="D62" s="105"/>
      <c r="E62" s="105"/>
      <c r="F62" s="105"/>
      <c r="G62" s="105"/>
      <c r="H62" s="106"/>
      <c r="I62" s="1"/>
    </row>
    <row r="63" spans="1:9" x14ac:dyDescent="0.35">
      <c r="A63" s="1"/>
      <c r="B63" s="98" t="s">
        <v>224</v>
      </c>
      <c r="C63" s="99"/>
      <c r="D63" s="99"/>
      <c r="E63" s="99"/>
      <c r="F63" s="100"/>
      <c r="G63" s="22">
        <f>(G58-G59)*(1+'Fane 13. Nøgletal'!C16)</f>
        <v>18950863.605545122</v>
      </c>
      <c r="H63" s="14" t="s">
        <v>3</v>
      </c>
      <c r="I63" s="1"/>
    </row>
    <row r="64" spans="1:9" x14ac:dyDescent="0.35">
      <c r="A64" s="1"/>
      <c r="B64" s="98" t="s">
        <v>225</v>
      </c>
      <c r="C64" s="99"/>
      <c r="D64" s="99"/>
      <c r="E64" s="99"/>
      <c r="F64" s="100"/>
      <c r="G64" s="75">
        <f>(G63)*'Fane 13. Nøgletal'!C28</f>
        <v>0</v>
      </c>
      <c r="H64" s="14" t="s">
        <v>3</v>
      </c>
      <c r="I64" s="1"/>
    </row>
    <row r="65" spans="1:9" x14ac:dyDescent="0.35">
      <c r="A65" s="1"/>
      <c r="B65" s="53"/>
      <c r="C65" s="54"/>
      <c r="D65" s="54"/>
      <c r="E65" s="54"/>
      <c r="F65" s="54"/>
      <c r="G65" s="54"/>
      <c r="H65" s="19"/>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1"/>
      <c r="B68" s="1"/>
      <c r="C68" s="1"/>
      <c r="D68" s="1"/>
      <c r="E68" s="1"/>
      <c r="F68" s="1"/>
      <c r="G68" s="1"/>
      <c r="H68" s="1"/>
      <c r="I68" s="1"/>
    </row>
    <row r="69" spans="1:9" x14ac:dyDescent="0.35">
      <c r="A69" s="1"/>
      <c r="B69" s="1"/>
      <c r="C69" s="1"/>
      <c r="D69" s="1"/>
      <c r="E69" s="1"/>
      <c r="F69" s="1"/>
      <c r="G69" s="1"/>
      <c r="H69" s="1"/>
      <c r="I69" s="1"/>
    </row>
    <row r="70" spans="1:9" x14ac:dyDescent="0.35">
      <c r="A70" s="1"/>
      <c r="B70" s="1"/>
      <c r="C70" s="1"/>
      <c r="D70" s="1"/>
      <c r="E70" s="1"/>
      <c r="F70" s="1"/>
      <c r="G70" s="1"/>
      <c r="H70" s="1"/>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sheetData>
  <sheetProtection algorithmName="SHA-512" hashValue="RKlqPK6JcrFvs2uKU/Jw18qIKQr/v9grNpZF/F29XgkTjBi/chxKNxh4Spa13ZZaueGKE2zS53Y01sZSpw43Bg==" saltValue="nnwX4D+Z62JsG33j1SPwV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94" t="s">
        <v>77</v>
      </c>
      <c r="C3" s="94"/>
      <c r="D3" s="94"/>
      <c r="E3" s="94"/>
      <c r="F3" s="94"/>
      <c r="G3" s="94"/>
      <c r="H3" s="1"/>
    </row>
    <row r="4" spans="1:8" ht="15" customHeight="1" x14ac:dyDescent="0.35">
      <c r="A4" s="1"/>
      <c r="B4" s="94"/>
      <c r="C4" s="94"/>
      <c r="D4" s="94"/>
      <c r="E4" s="94"/>
      <c r="F4" s="94"/>
      <c r="G4" s="94"/>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04" t="s">
        <v>9</v>
      </c>
      <c r="C8" s="105"/>
      <c r="D8" s="105"/>
      <c r="E8" s="105"/>
      <c r="F8" s="105"/>
      <c r="G8" s="106"/>
      <c r="H8" s="1"/>
    </row>
    <row r="9" spans="1:8" x14ac:dyDescent="0.35">
      <c r="A9" s="1"/>
      <c r="B9" s="64" t="s">
        <v>150</v>
      </c>
      <c r="C9" s="65"/>
      <c r="D9" s="65"/>
      <c r="E9" s="65"/>
      <c r="F9" s="66"/>
      <c r="G9" s="52">
        <v>0.02</v>
      </c>
      <c r="H9" s="1"/>
    </row>
    <row r="10" spans="1:8" x14ac:dyDescent="0.35">
      <c r="A10" s="1"/>
      <c r="B10" s="53"/>
      <c r="C10" s="54"/>
      <c r="D10" s="54"/>
      <c r="E10" s="54"/>
      <c r="F10" s="54"/>
      <c r="G10" s="19"/>
      <c r="H10" s="1"/>
    </row>
    <row r="11" spans="1:8" ht="15" customHeight="1" x14ac:dyDescent="0.35">
      <c r="A11" s="1"/>
      <c r="B11" s="110" t="s">
        <v>236</v>
      </c>
      <c r="C11" s="111"/>
      <c r="D11" s="111"/>
      <c r="E11" s="111"/>
      <c r="F11" s="111"/>
      <c r="G11" s="112"/>
      <c r="H11" s="1"/>
    </row>
    <row r="12" spans="1:8" ht="13.5" customHeight="1" x14ac:dyDescent="0.35">
      <c r="A12" s="1"/>
      <c r="B12" s="113"/>
      <c r="C12" s="114"/>
      <c r="D12" s="114"/>
      <c r="E12" s="114"/>
      <c r="F12" s="114"/>
      <c r="G12" s="115"/>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sheetData>
  <sheetProtection algorithmName="SHA-512" hashValue="HJVhgm6DhfRuDN7LyQMR+Kd3UdiBixq7eSDQpugbqyXqpX4h5H+utlSkWmPk+x6G5OPGhTK98YRDTFq9IbUxdQ==" saltValue="LjjoqWSj6qatv1FC5aJHn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2023-08-23T14:02:51Z</dcterms:modified>
</cp:coreProperties>
</file>