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ARWOS SPILDEVAND AS (S004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6" i="40" l="1"/>
  <c r="E12" i="40"/>
  <c r="E26" i="32" l="1"/>
  <c r="E32" i="32" l="1"/>
  <c r="E34" i="32" s="1"/>
  <c r="C16" i="19"/>
  <c r="C30" i="2" l="1"/>
  <c r="C26" i="15"/>
  <c r="E28" i="20"/>
  <c r="E22" i="20"/>
  <c r="E16" i="20"/>
  <c r="E10" i="20"/>
  <c r="E10" i="11" l="1"/>
  <c r="G7" i="30" l="1"/>
  <c r="G11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G43" i="36" s="1"/>
  <c r="C17" i="21"/>
  <c r="C18" i="21" s="1"/>
  <c r="G45" i="30" s="1"/>
  <c r="E30" i="21" l="1"/>
  <c r="G60" i="36" s="1"/>
  <c r="C30" i="21"/>
  <c r="G59" i="30" s="1"/>
  <c r="E24" i="21"/>
  <c r="G54" i="36" s="1"/>
  <c r="C24" i="21"/>
  <c r="G53" i="30" s="1"/>
  <c r="C11" i="15"/>
  <c r="C10" i="15"/>
  <c r="E39" i="39"/>
  <c r="C39" i="39"/>
  <c r="C40" i="39" s="1"/>
  <c r="E31" i="39"/>
  <c r="C31" i="39"/>
  <c r="C32" i="39" s="1"/>
  <c r="E23" i="39"/>
  <c r="C23" i="39"/>
  <c r="E15" i="39"/>
  <c r="C15" i="39"/>
  <c r="C11" i="23" l="1"/>
  <c r="C10" i="23"/>
  <c r="C11" i="22"/>
  <c r="C10" i="22"/>
  <c r="E41" i="39"/>
  <c r="E40" i="39"/>
  <c r="E32" i="39"/>
  <c r="E33" i="39"/>
  <c r="E25" i="39"/>
  <c r="E24" i="39"/>
  <c r="C24" i="39"/>
  <c r="C25" i="39"/>
  <c r="E17" i="39"/>
  <c r="E16" i="39"/>
  <c r="C17" i="39"/>
  <c r="C16" i="39"/>
  <c r="C41" i="39"/>
  <c r="C42" i="39" s="1"/>
  <c r="C33" i="39"/>
  <c r="C34" i="39" s="1"/>
  <c r="E26" i="39" l="1"/>
  <c r="C23" i="15" s="1"/>
  <c r="E42" i="39"/>
  <c r="C23" i="23" s="1"/>
  <c r="E34" i="39"/>
  <c r="C23" i="22" s="1"/>
  <c r="C18" i="39"/>
  <c r="C26" i="2" s="1"/>
  <c r="E18" i="39"/>
  <c r="C27" i="2" s="1"/>
  <c r="C26" i="39"/>
  <c r="C22" i="15" s="1"/>
  <c r="C22" i="22"/>
  <c r="C22" i="23"/>
  <c r="C24" i="23" l="1"/>
  <c r="C24" i="22"/>
  <c r="C24" i="15"/>
  <c r="C28" i="2"/>
  <c r="G6" i="36" l="1"/>
  <c r="G10" i="36" l="1"/>
  <c r="G13" i="36" l="1"/>
  <c r="G17" i="36" l="1"/>
  <c r="G19" i="36" s="1"/>
  <c r="G15" i="30"/>
  <c r="G19" i="30" s="1"/>
  <c r="G23" i="36" l="1"/>
  <c r="G25" i="36" s="1"/>
  <c r="G21" i="30"/>
  <c r="G29" i="36" l="1"/>
  <c r="G25" i="30"/>
  <c r="G31" i="36" l="1"/>
  <c r="F11" i="11"/>
  <c r="C10" i="37" s="1"/>
  <c r="C17" i="37" s="1"/>
  <c r="C18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7" i="19"/>
  <c r="C18" i="23" l="1"/>
  <c r="C18" i="22"/>
  <c r="C18" i="15"/>
  <c r="C15" i="2"/>
  <c r="C14" i="2"/>
  <c r="C22" i="2"/>
  <c r="C12" i="2"/>
  <c r="G38" i="30" s="1"/>
  <c r="G44" i="30" s="1"/>
  <c r="C13" i="2"/>
  <c r="G27" i="30" l="1"/>
  <c r="G31" i="30" l="1"/>
  <c r="E11" i="11"/>
  <c r="E10" i="37" s="1"/>
  <c r="E17" i="37" s="1"/>
  <c r="E18" i="37" s="1"/>
  <c r="C11" i="2" l="1"/>
  <c r="G36" i="36" s="1"/>
  <c r="G33" i="30"/>
  <c r="E18" i="27" s="1"/>
  <c r="G42" i="36" l="1"/>
  <c r="G37" i="36"/>
  <c r="G41" i="36" s="1"/>
  <c r="G37" i="30"/>
  <c r="E20" i="27"/>
  <c r="E33" i="27" s="1"/>
  <c r="C9" i="2" l="1"/>
  <c r="C16" i="2" s="1"/>
  <c r="G39" i="30"/>
  <c r="G43" i="30" s="1"/>
  <c r="G46" i="30" s="1"/>
  <c r="G52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4" i="30"/>
  <c r="C12" i="22" l="1"/>
  <c r="C13" i="22" s="1"/>
  <c r="C14" i="22"/>
  <c r="G58" i="30"/>
  <c r="G60" i="30" s="1"/>
  <c r="C14" i="23" s="1"/>
  <c r="C16" i="22" l="1"/>
  <c r="C9" i="23" l="1"/>
  <c r="C12" i="23" s="1"/>
  <c r="C13" i="23" s="1"/>
  <c r="C16" i="23" s="1"/>
  <c r="C27" i="23" s="1"/>
  <c r="C27" i="22"/>
</calcChain>
</file>

<file path=xl/sharedStrings.xml><?xml version="1.0" encoding="utf-8"?>
<sst xmlns="http://schemas.openxmlformats.org/spreadsheetml/2006/main" count="737" uniqueCount="296">
  <si>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</si>
  <si>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</si>
  <si>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</si>
  <si>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</si>
  <si>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</si>
  <si>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</si>
  <si>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</si>
  <si>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</si>
  <si>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</si>
  <si>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</si>
  <si>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</si>
  <si>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</si>
  <si>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</si>
  <si>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</si>
  <si>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</si>
  <si>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</si>
  <si>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</si>
  <si>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</si>
  <si>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</si>
  <si>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</si>
  <si>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</si>
  <si>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</si>
  <si>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</si>
  <si>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</si>
  <si>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</si>
  <si>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</si>
  <si>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</si>
  <si>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</si>
  <si>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</si>
  <si>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</si>
  <si>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</si>
  <si>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</si>
  <si>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</si>
  <si>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</si>
  <si>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</si>
  <si>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</si>
  <si>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</si>
  <si>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</si>
  <si>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</si>
  <si>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</si>
  <si>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</si>
  <si>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</si>
  <si>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</si>
  <si>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</si>
  <si>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</si>
  <si>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</si>
  <si>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</si>
  <si>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</si>
  <si>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</si>
  <si>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</si>
  <si>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</si>
  <si>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</si>
  <si>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</si>
  <si>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</si>
  <si>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</si>
  <si>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</si>
  <si>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</si>
  <si>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</si>
  <si>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</si>
  <si>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</si>
  <si>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</si>
  <si>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</si>
  <si>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</si>
  <si>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</si>
  <si>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</si>
  <si>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</si>
  <si>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</si>
  <si>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</si>
  <si>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</si>
  <si>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</si>
  <si>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</si>
  <si>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</si>
  <si>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</si>
  <si>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</si>
  <si>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</si>
  <si>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</si>
  <si>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</si>
  <si>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</si>
  <si>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</si>
  <si>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</si>
  <si>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</si>
  <si>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</si>
  <si>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</si>
  <si>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</si>
  <si>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</si>
  <si>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</si>
  <si>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</si>
  <si>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</si>
  <si>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</si>
  <si>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</si>
  <si>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</si>
  <si>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</si>
  <si>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</si>
  <si>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</si>
  <si>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</si>
  <si>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</si>
  <si>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</si>
  <si>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</si>
  <si>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</si>
  <si>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</si>
  <si>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</si>
  <si>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</si>
  <si>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</si>
  <si>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</si>
  <si>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</si>
  <si>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</si>
  <si>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</si>
  <si>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</si>
  <si>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</si>
  <si>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</si>
  <si>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</si>
  <si>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</si>
  <si>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</si>
  <si>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</si>
  <si>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</si>
  <si>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</si>
  <si>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</si>
  <si>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</si>
  <si>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</si>
  <si>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</si>
  <si>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</si>
  <si>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</si>
  <si>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</si>
  <si>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</si>
  <si>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</si>
  <si>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</si>
  <si>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</si>
  <si>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</si>
  <si>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</si>
  <si>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</si>
  <si>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</si>
  <si>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</si>
  <si>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</si>
  <si>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</si>
  <si>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</si>
  <si>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</si>
  <si>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</si>
  <si>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</si>
  <si>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</si>
  <si>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</si>
  <si>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</si>
  <si>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</si>
  <si>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</si>
  <si>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</si>
  <si>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</si>
  <si>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</si>
  <si>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</si>
  <si>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</si>
  <si>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</si>
  <si>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</si>
  <si>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</si>
  <si>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</si>
  <si>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</si>
  <si>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</si>
  <si>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</si>
  <si>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</si>
  <si>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</si>
  <si>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</si>
  <si>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</si>
  <si>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</si>
  <si>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</si>
  <si>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</si>
  <si>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</si>
  <si>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</si>
  <si>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</si>
  <si>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</si>
  <si>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</si>
  <si>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</si>
  <si>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</si>
  <si>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</si>
  <si>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</si>
  <si>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</si>
  <si>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</si>
  <si>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</si>
  <si>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</si>
  <si>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</si>
  <si>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</si>
  <si>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</si>
  <si>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</si>
  <si>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</si>
  <si>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</si>
  <si>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</si>
  <si>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</si>
  <si>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</si>
  <si>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</si>
  <si>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</si>
  <si>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</si>
  <si>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</si>
  <si>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</si>
  <si>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</si>
  <si>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</si>
  <si>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</si>
  <si>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</si>
  <si>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</si>
  <si>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</si>
  <si>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</si>
  <si>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</si>
  <si>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</si>
  <si>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</si>
  <si>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</si>
  <si>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</si>
  <si>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</si>
  <si>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</si>
  <si>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</si>
  <si>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</si>
  <si>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</si>
  <si>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</si>
  <si>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</si>
  <si>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</si>
  <si>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</si>
  <si>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</si>
  <si>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</si>
  <si>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</si>
  <si>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</si>
  <si>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</si>
  <si>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</si>
  <si>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</si>
  <si>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</si>
  <si>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</si>
  <si>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</si>
  <si>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</si>
  <si>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</si>
  <si>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</si>
  <si>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</si>
  <si>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</si>
  <si>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</si>
  <si>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</si>
  <si>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</si>
  <si>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</si>
  <si>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</si>
  <si>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</si>
  <si>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</si>
  <si>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</si>
  <si>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</si>
  <si>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</si>
  <si>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</si>
  <si>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</si>
  <si>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</si>
  <si>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</si>
  <si>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</si>
  <si>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</si>
  <si>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</si>
  <si>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</si>
  <si>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</si>
  <si>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</si>
  <si>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</si>
  <si>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</si>
  <si>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</si>
  <si>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</si>
  <si>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</si>
  <si>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</si>
  <si>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</si>
  <si>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</si>
  <si>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</si>
  <si>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</si>
  <si>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</si>
  <si>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</si>
  <si>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</si>
  <si>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</si>
  <si>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</si>
  <si>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</si>
  <si>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</si>
  <si>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Kloakseparering, kloakarbejde mm.</t>
  </si>
  <si>
    <t>Spildevandsafgift</t>
  </si>
  <si>
    <t>Afgift til Forsyningssekretariatet</t>
  </si>
  <si>
    <t>Køb af produkter og ydelser fra andre vandselskaber reguleret af vandsektorloven</t>
  </si>
  <si>
    <t>Ejendomsskat</t>
  </si>
  <si>
    <t>Erstatninger</t>
  </si>
  <si>
    <t>Ingen bortfald eller nedsættelse</t>
  </si>
  <si>
    <t xml:space="preserve">Flytning af ledninger  - Padborgvej 55B </t>
  </si>
  <si>
    <t>Udvidelser af forsyningsområde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</si>
  <si>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</si>
  <si>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</si>
  <si>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</si>
  <si>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</si>
  <si>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</si>
  <si>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</si>
  <si>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</si>
  <si>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</si>
  <si>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</si>
  <si>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</si>
  <si>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</si>
  <si>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</si>
  <si>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Periodevise driftsomkostninger  - 2018</t>
  </si>
  <si>
    <t>Periodevise driftsomkostninger  - 2016</t>
  </si>
  <si>
    <t>Periodevise driftsomkostninger  - 2017</t>
  </si>
  <si>
    <t>Periodevise driftomkostninger - 2016</t>
  </si>
  <si>
    <t>Periodevise driftomkostninger - 2017</t>
  </si>
  <si>
    <t>Periodevise driftomkostninger - 2018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</si>
  <si>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</si>
  <si>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</si>
  <si>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</si>
  <si>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anlægsprojekter</t>
  </si>
  <si>
    <t>Til økonomiske rammer for 2022 og 2023</t>
  </si>
  <si>
    <t>Kontrol med overholdelse af den økonomiske ramme</t>
  </si>
  <si>
    <t>Force majeure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</si>
</sst>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1" t="s">
        <v>4</v>
      </c>
      <c r="E6" s="71"/>
      <c r="F6" s="71"/>
      <c r="G6" s="71"/>
      <c r="H6" s="3"/>
      <c r="I6" s="1"/>
    </row>
    <row r="7" spans="1:9" ht="15" customHeight="1" x14ac:dyDescent="0.25">
      <c r="A7" s="1"/>
      <c r="B7" s="1"/>
      <c r="C7" s="3"/>
      <c r="D7" s="71"/>
      <c r="E7" s="71"/>
      <c r="F7" s="71"/>
      <c r="G7" s="71"/>
      <c r="H7" s="3"/>
      <c r="I7" s="1"/>
    </row>
    <row r="8" spans="1:9" ht="15.75" x14ac:dyDescent="0.25">
      <c r="A8" s="1"/>
      <c r="B8" s="1"/>
      <c r="C8" s="4"/>
      <c r="D8" s="79" t="s">
        <v>293</v>
      </c>
      <c r="E8" s="79"/>
      <c r="F8" s="79"/>
      <c r="G8" s="7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8" t="s">
        <v>5</v>
      </c>
      <c r="E11" s="78"/>
      <c r="F11" s="78"/>
      <c r="G11" s="7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8" t="s">
        <v>245</v>
      </c>
      <c r="E13" s="69"/>
      <c r="F13" s="69"/>
      <c r="G13" s="70"/>
      <c r="H13" s="1"/>
      <c r="I13" s="1"/>
    </row>
    <row r="14" spans="1:9" x14ac:dyDescent="0.25">
      <c r="A14" s="1"/>
      <c r="B14" s="1"/>
      <c r="C14" s="6" t="s">
        <v>17</v>
      </c>
      <c r="D14" s="68" t="s">
        <v>246</v>
      </c>
      <c r="E14" s="69"/>
      <c r="F14" s="69"/>
      <c r="G14" s="70"/>
      <c r="H14" s="1"/>
      <c r="I14" s="1"/>
    </row>
    <row r="15" spans="1:9" x14ac:dyDescent="0.25">
      <c r="A15" s="1"/>
      <c r="B15" s="1"/>
      <c r="C15" s="6" t="s">
        <v>37</v>
      </c>
      <c r="D15" s="68" t="s">
        <v>160</v>
      </c>
      <c r="E15" s="69"/>
      <c r="F15" s="69"/>
      <c r="G15" s="70"/>
      <c r="H15" s="1"/>
      <c r="I15" s="1"/>
    </row>
    <row r="16" spans="1:9" x14ac:dyDescent="0.25">
      <c r="A16" s="1"/>
      <c r="B16" s="1"/>
      <c r="C16" s="6" t="s">
        <v>38</v>
      </c>
      <c r="D16" s="68" t="s">
        <v>247</v>
      </c>
      <c r="E16" s="69"/>
      <c r="F16" s="69"/>
      <c r="G16" s="70"/>
      <c r="H16" s="1"/>
      <c r="I16" s="1"/>
    </row>
    <row r="17" spans="1:9" x14ac:dyDescent="0.25">
      <c r="A17" s="1"/>
      <c r="B17" s="1"/>
      <c r="C17" s="6" t="s">
        <v>144</v>
      </c>
      <c r="D17" s="68" t="s">
        <v>248</v>
      </c>
      <c r="E17" s="69"/>
      <c r="F17" s="69"/>
      <c r="G17" s="70"/>
      <c r="H17" s="1"/>
      <c r="I17" s="1"/>
    </row>
    <row r="18" spans="1:9" x14ac:dyDescent="0.25">
      <c r="A18" s="1"/>
      <c r="B18" s="1"/>
      <c r="C18" s="6" t="s">
        <v>124</v>
      </c>
      <c r="D18" s="80" t="s">
        <v>110</v>
      </c>
      <c r="E18" s="81"/>
      <c r="F18" s="81"/>
      <c r="G18" s="82"/>
      <c r="H18" s="1"/>
      <c r="I18" s="1"/>
    </row>
    <row r="19" spans="1:9" x14ac:dyDescent="0.25">
      <c r="A19" s="1"/>
      <c r="B19" s="1"/>
      <c r="C19" s="6" t="s">
        <v>125</v>
      </c>
      <c r="D19" s="80" t="s">
        <v>111</v>
      </c>
      <c r="E19" s="81"/>
      <c r="F19" s="81"/>
      <c r="G19" s="82"/>
      <c r="H19" s="1"/>
      <c r="I19" s="1"/>
    </row>
    <row r="20" spans="1:9" x14ac:dyDescent="0.25">
      <c r="A20" s="1"/>
      <c r="B20" s="1"/>
      <c r="C20" s="6" t="s">
        <v>7</v>
      </c>
      <c r="D20" s="80" t="s">
        <v>10</v>
      </c>
      <c r="E20" s="81"/>
      <c r="F20" s="81"/>
      <c r="G20" s="82"/>
      <c r="H20" s="1"/>
      <c r="I20" s="1"/>
    </row>
    <row r="21" spans="1:9" x14ac:dyDescent="0.25">
      <c r="A21" s="1"/>
      <c r="B21" s="1"/>
      <c r="C21" s="6" t="s">
        <v>126</v>
      </c>
      <c r="D21" s="72" t="s">
        <v>13</v>
      </c>
      <c r="E21" s="73"/>
      <c r="F21" s="73"/>
      <c r="G21" s="74"/>
      <c r="H21" s="1"/>
      <c r="I21" s="1"/>
    </row>
    <row r="22" spans="1:9" x14ac:dyDescent="0.25">
      <c r="A22" s="1"/>
      <c r="B22" s="1"/>
      <c r="C22" s="6" t="s">
        <v>91</v>
      </c>
      <c r="D22" s="75" t="s">
        <v>249</v>
      </c>
      <c r="E22" s="76"/>
      <c r="F22" s="76"/>
      <c r="G22" s="77"/>
      <c r="H22" s="1"/>
      <c r="I22" s="1"/>
    </row>
    <row r="23" spans="1:9" x14ac:dyDescent="0.25">
      <c r="A23" s="1"/>
      <c r="B23" s="1"/>
      <c r="C23" s="6" t="s">
        <v>8</v>
      </c>
      <c r="D23" s="75" t="s">
        <v>195</v>
      </c>
      <c r="E23" s="76"/>
      <c r="F23" s="76"/>
      <c r="G23" s="77"/>
      <c r="H23" s="1"/>
      <c r="I23" s="1"/>
    </row>
    <row r="24" spans="1:9" x14ac:dyDescent="0.25">
      <c r="A24" s="1"/>
      <c r="B24" s="1"/>
      <c r="C24" s="6" t="s">
        <v>9</v>
      </c>
      <c r="D24" s="75" t="s">
        <v>39</v>
      </c>
      <c r="E24" s="76"/>
      <c r="F24" s="76"/>
      <c r="G24" s="77"/>
      <c r="H24" s="1"/>
      <c r="I24" s="1"/>
    </row>
    <row r="25" spans="1:9" x14ac:dyDescent="0.25">
      <c r="A25" s="1"/>
      <c r="B25" s="1"/>
      <c r="C25" s="6" t="s">
        <v>127</v>
      </c>
      <c r="D25" s="75" t="s">
        <v>92</v>
      </c>
      <c r="E25" s="76"/>
      <c r="F25" s="76"/>
      <c r="G25" s="77"/>
      <c r="H25" s="1"/>
      <c r="I25" s="1"/>
    </row>
    <row r="26" spans="1:9" x14ac:dyDescent="0.25">
      <c r="A26" s="1"/>
      <c r="B26" s="1"/>
      <c r="C26" s="6" t="s">
        <v>128</v>
      </c>
      <c r="D26" s="75" t="s">
        <v>93</v>
      </c>
      <c r="E26" s="76"/>
      <c r="F26" s="76"/>
      <c r="G26" s="77"/>
      <c r="H26" s="1"/>
      <c r="I26" s="1"/>
    </row>
    <row r="27" spans="1:9" x14ac:dyDescent="0.25">
      <c r="A27" s="1"/>
      <c r="B27" s="1"/>
      <c r="C27" s="6" t="s">
        <v>129</v>
      </c>
      <c r="D27" s="75" t="s">
        <v>94</v>
      </c>
      <c r="E27" s="76"/>
      <c r="F27" s="76"/>
      <c r="G27" s="77"/>
      <c r="H27" s="1"/>
      <c r="I27" s="1"/>
    </row>
    <row r="28" spans="1:9" x14ac:dyDescent="0.25">
      <c r="A28" s="1"/>
      <c r="B28" s="1"/>
      <c r="C28" s="6" t="s">
        <v>16</v>
      </c>
      <c r="D28" s="75" t="s">
        <v>161</v>
      </c>
      <c r="E28" s="76"/>
      <c r="F28" s="76"/>
      <c r="G28" s="77"/>
      <c r="H28" s="1"/>
      <c r="I28" s="1"/>
    </row>
    <row r="29" spans="1:9" x14ac:dyDescent="0.25">
      <c r="A29" s="1"/>
      <c r="B29" s="1"/>
      <c r="C29" s="6" t="s">
        <v>41</v>
      </c>
      <c r="D29" s="75" t="s">
        <v>40</v>
      </c>
      <c r="E29" s="76"/>
      <c r="F29" s="76"/>
      <c r="G29" s="77"/>
      <c r="H29" s="1"/>
      <c r="I29" s="1"/>
    </row>
    <row r="30" spans="1:9" x14ac:dyDescent="0.25">
      <c r="A30" s="1"/>
      <c r="B30" s="1"/>
      <c r="C30" s="6" t="s">
        <v>42</v>
      </c>
      <c r="D30" s="83" t="s">
        <v>123</v>
      </c>
      <c r="E30" s="84"/>
      <c r="F30" s="84"/>
      <c r="G30" s="85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DpBJUOCTQa5ATmcNiquYdfFw7le5aPcSLtibwTImSG4lUw88AHZumYjix71+tNawgno19CS1ehMTs3b4Zt9yvA==" saltValue="UYsDYcIGE3qYd1t8Mg3uHg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20'!A1" display="Korrektion af den økonomiske ramme for 2020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6" t="s">
        <v>132</v>
      </c>
      <c r="C3" s="86"/>
      <c r="D3" s="86"/>
      <c r="E3" s="1"/>
      <c r="F3" s="1"/>
    </row>
    <row r="4" spans="1:6" ht="15" customHeight="1" x14ac:dyDescent="0.25">
      <c r="A4" s="1"/>
      <c r="B4" s="86"/>
      <c r="C4" s="86"/>
      <c r="D4" s="8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4" t="s">
        <v>208</v>
      </c>
      <c r="C8" s="95"/>
      <c r="D8" s="96"/>
      <c r="E8" s="1"/>
      <c r="F8" s="1"/>
    </row>
    <row r="9" spans="1:6" ht="15" customHeight="1" x14ac:dyDescent="0.25">
      <c r="A9" s="1"/>
      <c r="B9" s="31" t="s">
        <v>35</v>
      </c>
      <c r="C9" s="11" t="s">
        <v>244</v>
      </c>
      <c r="D9" s="11"/>
      <c r="E9" s="1"/>
      <c r="F9" s="1"/>
    </row>
    <row r="10" spans="1:6" ht="15" customHeight="1" x14ac:dyDescent="0.25">
      <c r="A10" s="1"/>
      <c r="B10" s="64" t="s">
        <v>263</v>
      </c>
      <c r="C10" s="9">
        <v>2521244</v>
      </c>
      <c r="D10" s="14" t="s">
        <v>3</v>
      </c>
      <c r="E10" s="1"/>
      <c r="F10" s="1"/>
    </row>
    <row r="11" spans="1:6" ht="15" customHeight="1" x14ac:dyDescent="0.25">
      <c r="A11" s="1"/>
      <c r="B11" s="64" t="s">
        <v>264</v>
      </c>
      <c r="C11" s="9">
        <v>89425</v>
      </c>
      <c r="D11" s="14" t="s">
        <v>3</v>
      </c>
      <c r="E11" s="1"/>
      <c r="F11" s="1"/>
    </row>
    <row r="12" spans="1:6" x14ac:dyDescent="0.25">
      <c r="A12" s="1"/>
      <c r="B12" s="64" t="s">
        <v>265</v>
      </c>
      <c r="C12" s="9">
        <v>749875</v>
      </c>
      <c r="D12" s="14" t="s">
        <v>3</v>
      </c>
      <c r="E12" s="1"/>
      <c r="F12" s="1"/>
    </row>
    <row r="13" spans="1:6" x14ac:dyDescent="0.25">
      <c r="A13" s="1"/>
      <c r="B13" s="64" t="s">
        <v>266</v>
      </c>
      <c r="C13" s="9">
        <v>300375</v>
      </c>
      <c r="D13" s="14" t="s">
        <v>3</v>
      </c>
      <c r="E13" s="1"/>
      <c r="F13" s="1"/>
    </row>
    <row r="14" spans="1:6" x14ac:dyDescent="0.25">
      <c r="A14" s="1"/>
      <c r="B14" s="64" t="s">
        <v>267</v>
      </c>
      <c r="C14" s="9">
        <v>38822</v>
      </c>
      <c r="D14" s="14" t="s">
        <v>3</v>
      </c>
      <c r="E14" s="1"/>
      <c r="F14" s="1"/>
    </row>
    <row r="15" spans="1:6" x14ac:dyDescent="0.25">
      <c r="A15" s="1"/>
      <c r="B15" s="64" t="s">
        <v>295</v>
      </c>
      <c r="C15" s="9">
        <v>75626.69</v>
      </c>
      <c r="D15" s="14" t="s">
        <v>3</v>
      </c>
      <c r="E15" s="1"/>
      <c r="F15" s="1"/>
    </row>
    <row r="16" spans="1:6" x14ac:dyDescent="0.25">
      <c r="A16" s="1"/>
      <c r="B16" s="38" t="s">
        <v>209</v>
      </c>
      <c r="C16" s="12">
        <f>SUM(C10:C15)</f>
        <v>3775367.69</v>
      </c>
      <c r="D16" s="13" t="s">
        <v>3</v>
      </c>
      <c r="E16" s="1"/>
      <c r="F16" s="1"/>
    </row>
    <row r="17" spans="1:6" x14ac:dyDescent="0.25">
      <c r="A17" s="1"/>
      <c r="B17" s="38" t="s">
        <v>210</v>
      </c>
      <c r="C17" s="12">
        <f>C16*(1+'Fane 14. Nøgletal'!C14)^2</f>
        <v>3800326.2305081445</v>
      </c>
      <c r="D17" s="13" t="s">
        <v>3</v>
      </c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6"/>
      <c r="C19" s="15"/>
      <c r="D19" s="15"/>
      <c r="E19" s="1"/>
      <c r="F19" s="1"/>
    </row>
    <row r="20" spans="1:6" x14ac:dyDescent="0.25">
      <c r="A20" s="1"/>
      <c r="B20" s="94" t="s">
        <v>142</v>
      </c>
      <c r="C20" s="95"/>
      <c r="D20" s="96"/>
      <c r="E20" s="1"/>
      <c r="F20" s="1"/>
    </row>
    <row r="21" spans="1:6" x14ac:dyDescent="0.25">
      <c r="A21" s="1"/>
      <c r="B21" s="64" t="s">
        <v>116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64" t="s">
        <v>117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64" t="s">
        <v>154</v>
      </c>
      <c r="C23" s="9">
        <v>0</v>
      </c>
      <c r="D23" s="14" t="s">
        <v>3</v>
      </c>
      <c r="E23" s="1"/>
      <c r="F23" s="1"/>
    </row>
    <row r="24" spans="1:6" x14ac:dyDescent="0.25">
      <c r="A24" s="1"/>
      <c r="B24" s="64" t="s">
        <v>211</v>
      </c>
      <c r="C24" s="9">
        <v>0</v>
      </c>
      <c r="D24" s="14" t="s">
        <v>3</v>
      </c>
      <c r="E24" s="1"/>
      <c r="F24" s="1"/>
    </row>
    <row r="25" spans="1:6" x14ac:dyDescent="0.25">
      <c r="A25" s="1"/>
      <c r="B25" s="94"/>
      <c r="C25" s="95"/>
      <c r="D25" s="96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94" t="s">
        <v>115</v>
      </c>
      <c r="C28" s="95"/>
      <c r="D28" s="96"/>
      <c r="E28" s="1"/>
      <c r="F28" s="1"/>
    </row>
    <row r="29" spans="1:6" x14ac:dyDescent="0.25">
      <c r="A29" s="1"/>
      <c r="B29" s="64" t="s">
        <v>116</v>
      </c>
      <c r="C29" s="9">
        <v>3734000</v>
      </c>
      <c r="D29" s="14" t="s">
        <v>3</v>
      </c>
      <c r="E29" s="1"/>
      <c r="F29" s="1"/>
    </row>
    <row r="30" spans="1:6" x14ac:dyDescent="0.25">
      <c r="A30" s="1"/>
      <c r="B30" s="64" t="s">
        <v>117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64" t="s">
        <v>154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64" t="s">
        <v>211</v>
      </c>
      <c r="C32" s="9">
        <v>0</v>
      </c>
      <c r="D32" s="14" t="s">
        <v>3</v>
      </c>
      <c r="E32" s="1"/>
      <c r="F32" s="1"/>
    </row>
    <row r="33" spans="1:6" x14ac:dyDescent="0.25">
      <c r="A33" s="1"/>
      <c r="B33" s="94"/>
      <c r="C33" s="95"/>
      <c r="D33" s="96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1n57SgyKmAhDpAlTqJ/pB/6JCgqls+nnJJxQVq++P2fQv0gwXeHcAO9JWj+DAb2CBbWw50I5mT751bTk5+r1lg==" saltValue="Z/828dL2IM/utw6MGXGveA==" spinCount="100000" sheet="1" objects="1" scenarios="1"/>
  <mergeCells count="6">
    <mergeCell ref="B33:D33"/>
    <mergeCell ref="B3:D4"/>
    <mergeCell ref="B8:D8"/>
    <mergeCell ref="B20:D20"/>
    <mergeCell ref="B28:D28"/>
    <mergeCell ref="B25:D25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2.2851562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2" t="s">
        <v>212</v>
      </c>
      <c r="C3" s="102"/>
      <c r="D3" s="102"/>
      <c r="E3" s="102"/>
      <c r="F3" s="102"/>
      <c r="G3" s="1"/>
    </row>
    <row r="4" spans="1:7" ht="15" customHeight="1" x14ac:dyDescent="0.25">
      <c r="A4" s="1"/>
      <c r="B4" s="102"/>
      <c r="C4" s="102"/>
      <c r="D4" s="102"/>
      <c r="E4" s="102"/>
      <c r="F4" s="102"/>
      <c r="G4" s="1"/>
    </row>
    <row r="5" spans="1:7" ht="15" customHeight="1" x14ac:dyDescent="0.25">
      <c r="A5" s="1"/>
      <c r="B5" s="60"/>
      <c r="C5" s="60"/>
      <c r="D5" s="60"/>
      <c r="E5" s="60"/>
      <c r="F5" s="60"/>
      <c r="G5" s="1"/>
    </row>
    <row r="6" spans="1:7" ht="15" customHeight="1" x14ac:dyDescent="0.25">
      <c r="A6" s="1"/>
      <c r="B6" s="60"/>
      <c r="C6" s="60"/>
      <c r="D6" s="60"/>
      <c r="E6" s="60"/>
      <c r="F6" s="60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271</v>
      </c>
      <c r="C8" s="95"/>
      <c r="D8" s="95"/>
      <c r="E8" s="95"/>
      <c r="F8" s="96"/>
      <c r="G8" s="1"/>
    </row>
    <row r="9" spans="1:7" x14ac:dyDescent="0.25">
      <c r="A9" s="1"/>
      <c r="B9" s="103" t="s">
        <v>272</v>
      </c>
      <c r="C9" s="104"/>
      <c r="D9" s="105"/>
      <c r="E9" s="9">
        <v>43496247.148442447</v>
      </c>
      <c r="F9" s="14" t="s">
        <v>3</v>
      </c>
      <c r="G9" s="1"/>
    </row>
    <row r="10" spans="1:7" x14ac:dyDescent="0.25">
      <c r="A10" s="1"/>
      <c r="B10" s="103" t="s">
        <v>273</v>
      </c>
      <c r="C10" s="104"/>
      <c r="D10" s="105"/>
      <c r="E10" s="9">
        <v>-9216535.6896875501</v>
      </c>
      <c r="F10" s="14" t="s">
        <v>3</v>
      </c>
      <c r="G10" s="1"/>
    </row>
    <row r="11" spans="1:7" x14ac:dyDescent="0.25">
      <c r="A11" s="1"/>
      <c r="B11" s="103" t="s">
        <v>274</v>
      </c>
      <c r="C11" s="104"/>
      <c r="D11" s="105"/>
      <c r="E11" s="9">
        <v>0</v>
      </c>
      <c r="F11" s="14" t="s">
        <v>3</v>
      </c>
      <c r="G11" s="1"/>
    </row>
    <row r="12" spans="1:7" x14ac:dyDescent="0.25">
      <c r="A12" s="1"/>
      <c r="B12" s="103" t="s">
        <v>275</v>
      </c>
      <c r="C12" s="104"/>
      <c r="D12" s="105"/>
      <c r="E12" s="9">
        <v>4032371.330550462</v>
      </c>
      <c r="F12" s="14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51.75" customHeight="1" x14ac:dyDescent="0.25">
      <c r="A14" s="1"/>
      <c r="B14" s="97" t="s">
        <v>276</v>
      </c>
      <c r="C14" s="98"/>
      <c r="D14" s="98"/>
      <c r="E14" s="98"/>
      <c r="F14" s="99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4" t="s">
        <v>277</v>
      </c>
      <c r="C16" s="95"/>
      <c r="D16" s="95"/>
      <c r="E16" s="95"/>
      <c r="F16" s="96"/>
      <c r="G16" s="1"/>
    </row>
    <row r="17" spans="1:7" x14ac:dyDescent="0.25">
      <c r="A17" s="1"/>
      <c r="B17" s="103" t="s">
        <v>278</v>
      </c>
      <c r="C17" s="104"/>
      <c r="D17" s="105"/>
      <c r="E17" s="9">
        <v>0</v>
      </c>
      <c r="F17" s="14" t="s">
        <v>3</v>
      </c>
      <c r="G17" s="1"/>
    </row>
    <row r="18" spans="1:7" x14ac:dyDescent="0.25">
      <c r="A18" s="1"/>
      <c r="B18" s="103" t="s">
        <v>279</v>
      </c>
      <c r="C18" s="104"/>
      <c r="D18" s="105"/>
      <c r="E18" s="9">
        <v>0</v>
      </c>
      <c r="F18" s="14" t="s">
        <v>3</v>
      </c>
      <c r="G18" s="1"/>
    </row>
    <row r="19" spans="1:7" x14ac:dyDescent="0.25">
      <c r="A19" s="1"/>
      <c r="B19" s="38"/>
      <c r="C19" s="32"/>
      <c r="D19" s="32"/>
      <c r="E19" s="32"/>
      <c r="F19" s="20"/>
      <c r="G19" s="1"/>
    </row>
    <row r="20" spans="1:7" ht="29.25" customHeight="1" x14ac:dyDescent="0.25">
      <c r="A20" s="1"/>
      <c r="B20" s="97" t="s">
        <v>280</v>
      </c>
      <c r="C20" s="98"/>
      <c r="D20" s="98"/>
      <c r="E20" s="98"/>
      <c r="F20" s="99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5" t="s">
        <v>213</v>
      </c>
      <c r="C22" s="56"/>
      <c r="D22" s="56"/>
      <c r="E22" s="56"/>
      <c r="F22" s="57"/>
      <c r="G22" s="1"/>
    </row>
    <row r="23" spans="1:7" x14ac:dyDescent="0.25">
      <c r="A23" s="1"/>
      <c r="B23" s="61" t="s">
        <v>214</v>
      </c>
      <c r="C23" s="62"/>
      <c r="D23" s="63"/>
      <c r="E23" s="9">
        <v>133016892.08252838</v>
      </c>
      <c r="F23" s="14" t="s">
        <v>3</v>
      </c>
      <c r="G23" s="1"/>
    </row>
    <row r="24" spans="1:7" x14ac:dyDescent="0.25">
      <c r="A24" s="1"/>
      <c r="B24" s="61" t="s">
        <v>215</v>
      </c>
      <c r="C24" s="62"/>
      <c r="D24" s="63"/>
      <c r="E24" s="9">
        <v>133877987</v>
      </c>
      <c r="F24" s="14" t="s">
        <v>3</v>
      </c>
      <c r="G24" s="1"/>
    </row>
    <row r="25" spans="1:7" x14ac:dyDescent="0.25">
      <c r="A25" s="1"/>
      <c r="B25" s="61" t="s">
        <v>36</v>
      </c>
      <c r="C25" s="62"/>
      <c r="D25" s="63"/>
      <c r="E25" s="9">
        <v>0</v>
      </c>
      <c r="F25" s="14" t="s">
        <v>3</v>
      </c>
      <c r="G25" s="1"/>
    </row>
    <row r="26" spans="1:7" x14ac:dyDescent="0.25">
      <c r="A26" s="1"/>
      <c r="B26" s="58" t="s">
        <v>281</v>
      </c>
      <c r="C26" s="59"/>
      <c r="D26" s="66"/>
      <c r="E26" s="48">
        <f>E23-(E24-E25)</f>
        <v>-861094.91747161746</v>
      </c>
      <c r="F26" s="17" t="s">
        <v>3</v>
      </c>
      <c r="G26" s="1"/>
    </row>
    <row r="27" spans="1:7" x14ac:dyDescent="0.25">
      <c r="A27" s="1"/>
      <c r="B27" s="38"/>
      <c r="C27" s="32"/>
      <c r="D27" s="32"/>
      <c r="E27" s="32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94" t="s">
        <v>186</v>
      </c>
      <c r="C30" s="95"/>
      <c r="D30" s="95"/>
      <c r="E30" s="95"/>
      <c r="F30" s="96"/>
      <c r="G30" s="1"/>
    </row>
    <row r="31" spans="1:7" x14ac:dyDescent="0.25">
      <c r="A31" s="1"/>
      <c r="B31" s="119" t="s">
        <v>291</v>
      </c>
      <c r="C31" s="120"/>
      <c r="D31" s="121"/>
      <c r="E31" s="9">
        <v>0</v>
      </c>
      <c r="F31" s="14"/>
      <c r="G31" s="1"/>
    </row>
    <row r="32" spans="1:7" x14ac:dyDescent="0.25">
      <c r="A32" s="1"/>
      <c r="B32" s="119" t="s">
        <v>187</v>
      </c>
      <c r="C32" s="120"/>
      <c r="D32" s="121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0</v>
      </c>
      <c r="F32" s="14" t="s">
        <v>3</v>
      </c>
      <c r="G32" s="1"/>
    </row>
    <row r="33" spans="1:7" x14ac:dyDescent="0.25">
      <c r="A33" s="1"/>
      <c r="B33" s="119" t="s">
        <v>120</v>
      </c>
      <c r="C33" s="120"/>
      <c r="D33" s="121"/>
      <c r="E33" s="9">
        <v>2</v>
      </c>
      <c r="F33" s="14" t="s">
        <v>21</v>
      </c>
      <c r="G33" s="1"/>
    </row>
    <row r="34" spans="1:7" x14ac:dyDescent="0.25">
      <c r="A34" s="1"/>
      <c r="B34" s="115" t="s">
        <v>188</v>
      </c>
      <c r="C34" s="115"/>
      <c r="D34" s="115"/>
      <c r="E34" s="10">
        <f>E32/E33</f>
        <v>0</v>
      </c>
      <c r="F34" s="17" t="s">
        <v>3</v>
      </c>
      <c r="G34" s="1"/>
    </row>
    <row r="35" spans="1:7" x14ac:dyDescent="0.25">
      <c r="A35" s="1"/>
      <c r="B35" s="116"/>
      <c r="C35" s="117"/>
      <c r="D35" s="117"/>
      <c r="E35" s="117"/>
      <c r="F35" s="118"/>
      <c r="G35" s="1"/>
    </row>
    <row r="36" spans="1:7" ht="75" customHeight="1" x14ac:dyDescent="0.25">
      <c r="A36" s="1"/>
      <c r="B36" s="97" t="s">
        <v>290</v>
      </c>
      <c r="C36" s="98"/>
      <c r="D36" s="98"/>
      <c r="E36" s="98"/>
      <c r="F36" s="9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xEobOkxl6khAMBGdiKFgGfgLwS/ImL0EnSloIMrkowjH0xgZYAzWpyCh8k0pH/PJMpx/UZLGJu14+uz/xvGxXw==" saltValue="tr4ASk7cSzBiqphn7L5Fgw==" spinCount="100000" sheet="1" objects="1" scenarios="1"/>
  <mergeCells count="18">
    <mergeCell ref="B34:D34"/>
    <mergeCell ref="B35:F35"/>
    <mergeCell ref="B36:F36"/>
    <mergeCell ref="B20:F20"/>
    <mergeCell ref="B30:F30"/>
    <mergeCell ref="B31:D31"/>
    <mergeCell ref="B32:D32"/>
    <mergeCell ref="B33:D33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2" t="s">
        <v>216</v>
      </c>
      <c r="C3" s="102"/>
      <c r="D3" s="102"/>
      <c r="E3" s="102"/>
      <c r="F3" s="102"/>
      <c r="G3" s="1"/>
    </row>
    <row r="4" spans="1:7" ht="15" customHeight="1" x14ac:dyDescent="0.25">
      <c r="A4" s="1"/>
      <c r="B4" s="102"/>
      <c r="C4" s="102"/>
      <c r="D4" s="102"/>
      <c r="E4" s="102"/>
      <c r="F4" s="10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4" t="s">
        <v>217</v>
      </c>
      <c r="C9" s="95"/>
      <c r="D9" s="95"/>
      <c r="E9" s="95"/>
      <c r="F9" s="96"/>
      <c r="G9" s="1"/>
    </row>
    <row r="10" spans="1:7" x14ac:dyDescent="0.25">
      <c r="A10" s="1"/>
      <c r="B10" s="97" t="s">
        <v>118</v>
      </c>
      <c r="C10" s="98"/>
      <c r="D10" s="99"/>
      <c r="E10" s="7">
        <v>0</v>
      </c>
      <c r="F10" s="8" t="s">
        <v>3</v>
      </c>
      <c r="G10" s="1"/>
    </row>
    <row r="11" spans="1:7" x14ac:dyDescent="0.25">
      <c r="A11" s="1"/>
      <c r="B11" s="103" t="s">
        <v>218</v>
      </c>
      <c r="C11" s="104"/>
      <c r="D11" s="105"/>
      <c r="E11" s="7">
        <v>0</v>
      </c>
      <c r="F11" s="8" t="s">
        <v>3</v>
      </c>
      <c r="G11" s="1"/>
    </row>
    <row r="12" spans="1:7" x14ac:dyDescent="0.25">
      <c r="A12" s="1"/>
      <c r="B12" s="100" t="s">
        <v>119</v>
      </c>
      <c r="C12" s="101"/>
      <c r="D12" s="122"/>
      <c r="E12" s="10">
        <f>E11-E10</f>
        <v>0</v>
      </c>
      <c r="F12" s="11" t="s">
        <v>3</v>
      </c>
      <c r="G12" s="1"/>
    </row>
    <row r="13" spans="1:7" x14ac:dyDescent="0.25">
      <c r="A13" s="1"/>
      <c r="B13" s="94" t="s">
        <v>109</v>
      </c>
      <c r="C13" s="95"/>
      <c r="D13" s="95"/>
      <c r="E13" s="95"/>
      <c r="F13" s="96"/>
      <c r="G13" s="1"/>
    </row>
    <row r="14" spans="1:7" x14ac:dyDescent="0.25">
      <c r="A14" s="1"/>
      <c r="B14" s="103" t="s">
        <v>219</v>
      </c>
      <c r="C14" s="104"/>
      <c r="D14" s="105"/>
      <c r="E14" s="9">
        <v>0</v>
      </c>
      <c r="F14" s="8" t="s">
        <v>3</v>
      </c>
      <c r="G14" s="1"/>
    </row>
    <row r="15" spans="1:7" x14ac:dyDescent="0.25">
      <c r="A15" s="1"/>
      <c r="B15" s="97" t="s">
        <v>220</v>
      </c>
      <c r="C15" s="98"/>
      <c r="D15" s="99"/>
      <c r="E15" s="9">
        <v>0</v>
      </c>
      <c r="F15" s="8" t="s">
        <v>3</v>
      </c>
      <c r="G15" s="1"/>
    </row>
    <row r="16" spans="1:7" x14ac:dyDescent="0.25">
      <c r="A16" s="1"/>
      <c r="B16" s="100" t="s">
        <v>119</v>
      </c>
      <c r="C16" s="101"/>
      <c r="D16" s="122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221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1eUfbYYkMdFUk7Mq1iq6H4elSB8VH2WZGVafpbMNaX/Q2YO50fsN7IBrFrPOHgHzPIF0a42X6S1oRs2Us8+SaQ==" saltValue="SXfrFfouY+hrGJ2lyqJk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177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178</v>
      </c>
      <c r="C8" s="95"/>
      <c r="D8" s="95"/>
      <c r="E8" s="95"/>
      <c r="F8" s="95"/>
      <c r="G8" s="95"/>
      <c r="H8" s="96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25">
      <c r="A10" s="1"/>
      <c r="B10" s="67" t="s">
        <v>292</v>
      </c>
      <c r="C10" s="49">
        <v>0</v>
      </c>
      <c r="D10" s="9">
        <v>0</v>
      </c>
      <c r="E10" s="9">
        <f t="shared" ref="E10" si="0"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94" t="s">
        <v>179</v>
      </c>
      <c r="C11" s="95"/>
      <c r="D11" s="96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a2vrEALYMBRd3HVHs9FUYxhhvHW5J9DggKKvtNADyDknsczQWcoCE66Bto6jNpDwIaay0EsuU6VyvaZ0dNXaAg==" saltValue="IQRa1oJxKYAjeCTPYSnTL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135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25">
      <c r="A9" s="1"/>
      <c r="B9" s="53" t="s">
        <v>18</v>
      </c>
      <c r="C9" s="53" t="s">
        <v>12</v>
      </c>
      <c r="D9" s="54"/>
      <c r="E9" s="53" t="s">
        <v>34</v>
      </c>
      <c r="F9" s="37"/>
      <c r="G9" s="1"/>
    </row>
    <row r="10" spans="1:7" x14ac:dyDescent="0.2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47" t="s">
        <v>262</v>
      </c>
      <c r="C11" s="22">
        <v>372709</v>
      </c>
      <c r="D11" s="14" t="s">
        <v>3</v>
      </c>
      <c r="E11" s="9">
        <v>2837807</v>
      </c>
      <c r="F11" s="14" t="s">
        <v>3</v>
      </c>
      <c r="G11" s="1"/>
    </row>
    <row r="12" spans="1:7" x14ac:dyDescent="0.25">
      <c r="A12" s="1"/>
      <c r="B12" s="47" t="s">
        <v>269</v>
      </c>
      <c r="C12" s="22">
        <v>11863</v>
      </c>
      <c r="D12" s="14" t="s">
        <v>3</v>
      </c>
      <c r="E12" s="9">
        <v>18389</v>
      </c>
      <c r="F12" s="14" t="s">
        <v>3</v>
      </c>
      <c r="G12" s="1"/>
    </row>
    <row r="13" spans="1:7" x14ac:dyDescent="0.25">
      <c r="A13" s="1"/>
      <c r="B13" s="47" t="s">
        <v>270</v>
      </c>
      <c r="C13" s="22">
        <v>549928</v>
      </c>
      <c r="D13" s="14" t="s">
        <v>3</v>
      </c>
      <c r="E13" s="9">
        <v>1096866</v>
      </c>
      <c r="F13" s="14" t="s">
        <v>3</v>
      </c>
      <c r="G13" s="1"/>
    </row>
    <row r="14" spans="1:7" x14ac:dyDescent="0.25">
      <c r="A14" s="1"/>
      <c r="B14" s="47" t="s">
        <v>284</v>
      </c>
      <c r="C14" s="22">
        <v>20520</v>
      </c>
      <c r="D14" s="14" t="s">
        <v>3</v>
      </c>
      <c r="E14" s="9">
        <v>0</v>
      </c>
      <c r="F14" s="14" t="s">
        <v>3</v>
      </c>
      <c r="G14" s="1"/>
    </row>
    <row r="15" spans="1:7" x14ac:dyDescent="0.25">
      <c r="A15" s="1"/>
      <c r="B15" s="47" t="s">
        <v>285</v>
      </c>
      <c r="C15" s="22">
        <v>29281</v>
      </c>
      <c r="D15" s="14" t="s">
        <v>3</v>
      </c>
      <c r="E15" s="9">
        <v>0</v>
      </c>
      <c r="F15" s="14" t="s">
        <v>3</v>
      </c>
      <c r="G15" s="1"/>
    </row>
    <row r="16" spans="1:7" x14ac:dyDescent="0.25">
      <c r="A16" s="1"/>
      <c r="B16" s="25" t="s">
        <v>283</v>
      </c>
      <c r="C16" s="22">
        <v>29577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163</v>
      </c>
      <c r="C17" s="12">
        <f>SUM(C10:C16)</f>
        <v>1013878</v>
      </c>
      <c r="D17" s="13" t="s">
        <v>3</v>
      </c>
      <c r="E17" s="12">
        <f>SUM(E10:E16)</f>
        <v>3953062</v>
      </c>
      <c r="F17" s="13" t="s">
        <v>3</v>
      </c>
      <c r="G17" s="1"/>
    </row>
    <row r="18" spans="1:7" x14ac:dyDescent="0.25">
      <c r="A18" s="1"/>
      <c r="B18" s="38" t="s">
        <v>222</v>
      </c>
      <c r="C18" s="12">
        <f>C17*(1+'Fane 14. Nøgletal'!C14)</f>
        <v>1017223.7974</v>
      </c>
      <c r="D18" s="13" t="s">
        <v>3</v>
      </c>
      <c r="E18" s="12">
        <f>E17*(1+'Fane 14. Nøgletal'!C14)</f>
        <v>3966107.1046000002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bAzVNr3gzjAw6Tjpbt3gaQ4nEt3L/fRVl1WlhDR/A95zEPbXGHXV8OyrCjVcWMRj6BwXjU5x4SApqSthBeQx9Q==" saltValue="bv3rMbt78kj2WEpdbaop1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134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112</v>
      </c>
      <c r="C8" s="95"/>
      <c r="D8" s="95"/>
      <c r="E8" s="95"/>
      <c r="F8" s="96"/>
      <c r="G8" s="1"/>
    </row>
    <row r="9" spans="1:7" x14ac:dyDescent="0.25">
      <c r="A9" s="1"/>
      <c r="B9" s="53" t="s">
        <v>18</v>
      </c>
      <c r="C9" s="53" t="s">
        <v>12</v>
      </c>
      <c r="D9" s="54"/>
      <c r="E9" s="53" t="s">
        <v>34</v>
      </c>
      <c r="F9" s="37"/>
      <c r="G9" s="1"/>
    </row>
    <row r="10" spans="1:7" x14ac:dyDescent="0.25">
      <c r="A10" s="1"/>
      <c r="B10" s="25" t="s">
        <v>262</v>
      </c>
      <c r="C10" s="22">
        <v>677789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7" t="s">
        <v>270</v>
      </c>
      <c r="C11" s="22">
        <v>2982</v>
      </c>
      <c r="D11" s="14" t="s">
        <v>3</v>
      </c>
      <c r="E11" s="9">
        <v>0</v>
      </c>
      <c r="F11" s="14" t="s">
        <v>3</v>
      </c>
      <c r="G11" s="1"/>
    </row>
    <row r="12" spans="1:7" x14ac:dyDescent="0.25">
      <c r="A12" s="1"/>
      <c r="B12" s="47" t="s">
        <v>286</v>
      </c>
      <c r="C12" s="22">
        <v>82080</v>
      </c>
      <c r="D12" s="14" t="s">
        <v>3</v>
      </c>
      <c r="E12" s="9">
        <v>0</v>
      </c>
      <c r="F12" s="14" t="s">
        <v>3</v>
      </c>
      <c r="G12" s="1"/>
    </row>
    <row r="13" spans="1:7" x14ac:dyDescent="0.25">
      <c r="A13" s="1"/>
      <c r="B13" s="47" t="s">
        <v>287</v>
      </c>
      <c r="C13" s="22">
        <v>87843</v>
      </c>
      <c r="D13" s="14" t="s">
        <v>3</v>
      </c>
      <c r="E13" s="9">
        <v>0</v>
      </c>
      <c r="F13" s="14" t="s">
        <v>3</v>
      </c>
      <c r="G13" s="1"/>
    </row>
    <row r="14" spans="1:7" x14ac:dyDescent="0.25">
      <c r="A14" s="1"/>
      <c r="B14" s="25" t="s">
        <v>288</v>
      </c>
      <c r="C14" s="22">
        <v>59154</v>
      </c>
      <c r="D14" s="14" t="s">
        <v>3</v>
      </c>
      <c r="E14" s="9">
        <v>0</v>
      </c>
      <c r="F14" s="14" t="s">
        <v>3</v>
      </c>
      <c r="G14" s="1"/>
    </row>
    <row r="15" spans="1:7" x14ac:dyDescent="0.25">
      <c r="A15" s="1"/>
      <c r="B15" s="38" t="s">
        <v>223</v>
      </c>
      <c r="C15" s="12">
        <f>SUM(C10:C14)</f>
        <v>909848</v>
      </c>
      <c r="D15" s="13" t="s">
        <v>3</v>
      </c>
      <c r="E15" s="12">
        <f>SUM(E10:E14)</f>
        <v>0</v>
      </c>
      <c r="F15" s="13" t="s">
        <v>3</v>
      </c>
      <c r="G15" s="1"/>
    </row>
    <row r="16" spans="1:7" x14ac:dyDescent="0.25">
      <c r="A16" s="1"/>
      <c r="B16" s="27" t="s">
        <v>10</v>
      </c>
      <c r="C16" s="28">
        <f>-C15*'Fane 5. Individuelt eff. krav'!G12</f>
        <v>-13509.804706879269</v>
      </c>
      <c r="D16" s="29" t="s">
        <v>3</v>
      </c>
      <c r="E16" s="28">
        <f>-E15*'Fane 5. Individuelt eff. krav'!G12</f>
        <v>0</v>
      </c>
      <c r="F16" s="29" t="s">
        <v>3</v>
      </c>
      <c r="G16" s="1"/>
    </row>
    <row r="17" spans="1:7" x14ac:dyDescent="0.25">
      <c r="A17" s="1"/>
      <c r="B17" s="27" t="s">
        <v>114</v>
      </c>
      <c r="C17" s="28">
        <f>-C15*'Fane 14. Nøgletal'!C29</f>
        <v>-18196.96</v>
      </c>
      <c r="D17" s="29" t="s">
        <v>3</v>
      </c>
      <c r="E17" s="28">
        <f>-E15*'Fane 14. Nøgletal'!C24</f>
        <v>0</v>
      </c>
      <c r="F17" s="29" t="s">
        <v>3</v>
      </c>
      <c r="G17" s="1"/>
    </row>
    <row r="18" spans="1:7" x14ac:dyDescent="0.25">
      <c r="A18" s="1"/>
      <c r="B18" s="38" t="s">
        <v>164</v>
      </c>
      <c r="C18" s="12">
        <f>SUM(C15:C17)*(1+'Fane 14. Nøgletal'!C14)^2</f>
        <v>883946.53040410776</v>
      </c>
      <c r="D18" s="13" t="s">
        <v>3</v>
      </c>
      <c r="E18" s="12">
        <f>SUM(E15:E17)*(1+'Fane 14.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4" t="s">
        <v>113</v>
      </c>
      <c r="C20" s="95"/>
      <c r="D20" s="95"/>
      <c r="E20" s="95"/>
      <c r="F20" s="96"/>
      <c r="G20" s="1"/>
    </row>
    <row r="21" spans="1:7" x14ac:dyDescent="0.25">
      <c r="A21" s="1"/>
      <c r="B21" s="53" t="s">
        <v>18</v>
      </c>
      <c r="C21" s="53" t="s">
        <v>12</v>
      </c>
      <c r="D21" s="54"/>
      <c r="E21" s="53" t="s">
        <v>34</v>
      </c>
      <c r="F21" s="37"/>
      <c r="G21" s="1"/>
    </row>
    <row r="22" spans="1:7" x14ac:dyDescent="0.25">
      <c r="A22" s="1"/>
      <c r="B22" s="25" t="s">
        <v>289</v>
      </c>
      <c r="C22" s="22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223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27" t="s">
        <v>10</v>
      </c>
      <c r="C24" s="28">
        <f>-C23*'Fane 5. Individuelt eff. krav'!G12</f>
        <v>0</v>
      </c>
      <c r="D24" s="29" t="s">
        <v>3</v>
      </c>
      <c r="E24" s="28">
        <f>-E23*'Fane 5. Individuelt eff. krav'!G12</f>
        <v>0</v>
      </c>
      <c r="F24" s="29" t="s">
        <v>3</v>
      </c>
      <c r="G24" s="1"/>
    </row>
    <row r="25" spans="1:7" x14ac:dyDescent="0.25">
      <c r="A25" s="1"/>
      <c r="B25" s="27" t="s">
        <v>114</v>
      </c>
      <c r="C25" s="28">
        <f>-C23*'Fane 14. Nøgletal'!C29</f>
        <v>0</v>
      </c>
      <c r="D25" s="29" t="s">
        <v>3</v>
      </c>
      <c r="E25" s="28">
        <f>-E23*'Fane 14. Nøgletal'!C24</f>
        <v>0</v>
      </c>
      <c r="F25" s="29" t="s">
        <v>3</v>
      </c>
      <c r="G25" s="1"/>
    </row>
    <row r="26" spans="1:7" x14ac:dyDescent="0.25">
      <c r="A26" s="1"/>
      <c r="B26" s="38" t="s">
        <v>165</v>
      </c>
      <c r="C26" s="12">
        <f>SUM(C23:C25)*(1+'Fane 14. Nøgletal'!C14)^3</f>
        <v>0</v>
      </c>
      <c r="D26" s="13" t="s">
        <v>3</v>
      </c>
      <c r="E26" s="12">
        <f>SUM(E23:E25)*(1+'Fane 14. Nøgletal'!C14)^3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94" t="s">
        <v>166</v>
      </c>
      <c r="C28" s="95"/>
      <c r="D28" s="95"/>
      <c r="E28" s="95"/>
      <c r="F28" s="96"/>
      <c r="G28" s="1"/>
    </row>
    <row r="29" spans="1:7" x14ac:dyDescent="0.25">
      <c r="A29" s="1"/>
      <c r="B29" s="53" t="s">
        <v>18</v>
      </c>
      <c r="C29" s="53" t="s">
        <v>12</v>
      </c>
      <c r="D29" s="54"/>
      <c r="E29" s="53" t="s">
        <v>34</v>
      </c>
      <c r="F29" s="37"/>
      <c r="G29" s="1"/>
    </row>
    <row r="30" spans="1:7" x14ac:dyDescent="0.25">
      <c r="A30" s="1"/>
      <c r="B30" s="25" t="s">
        <v>289</v>
      </c>
      <c r="C30" s="22">
        <v>0</v>
      </c>
      <c r="D30" s="14" t="s">
        <v>3</v>
      </c>
      <c r="E30" s="9">
        <v>0</v>
      </c>
      <c r="F30" s="14" t="s">
        <v>3</v>
      </c>
      <c r="G30" s="1"/>
    </row>
    <row r="31" spans="1:7" x14ac:dyDescent="0.25">
      <c r="A31" s="1"/>
      <c r="B31" s="38" t="s">
        <v>223</v>
      </c>
      <c r="C31" s="12">
        <f>SUM(C30:C30)</f>
        <v>0</v>
      </c>
      <c r="D31" s="13" t="s">
        <v>3</v>
      </c>
      <c r="E31" s="12">
        <f>SUM(E30:E30)</f>
        <v>0</v>
      </c>
      <c r="F31" s="13" t="s">
        <v>3</v>
      </c>
      <c r="G31" s="1"/>
    </row>
    <row r="32" spans="1:7" x14ac:dyDescent="0.25">
      <c r="A32" s="1"/>
      <c r="B32" s="27" t="s">
        <v>10</v>
      </c>
      <c r="C32" s="28">
        <f>-C31*'Fane 5. Individuelt eff. krav'!G12</f>
        <v>0</v>
      </c>
      <c r="D32" s="29" t="s">
        <v>3</v>
      </c>
      <c r="E32" s="28">
        <f>-E31*'Fane 5. Individuelt eff. krav'!G12</f>
        <v>0</v>
      </c>
      <c r="F32" s="29" t="s">
        <v>3</v>
      </c>
      <c r="G32" s="1"/>
    </row>
    <row r="33" spans="1:7" x14ac:dyDescent="0.25">
      <c r="A33" s="1"/>
      <c r="B33" s="27" t="s">
        <v>114</v>
      </c>
      <c r="C33" s="28">
        <f>-C31*'Fane 14. Nøgletal'!C29</f>
        <v>0</v>
      </c>
      <c r="D33" s="29" t="s">
        <v>3</v>
      </c>
      <c r="E33" s="28">
        <f>-E31*'Fane 14. Nøgletal'!C24</f>
        <v>0</v>
      </c>
      <c r="F33" s="29" t="s">
        <v>3</v>
      </c>
      <c r="G33" s="1"/>
    </row>
    <row r="34" spans="1:7" x14ac:dyDescent="0.25">
      <c r="A34" s="1"/>
      <c r="B34" s="38" t="s">
        <v>167</v>
      </c>
      <c r="C34" s="12">
        <f>SUM(C31:C33)*(1+'Fane 14. Nøgletal'!C14)^4</f>
        <v>0</v>
      </c>
      <c r="D34" s="13" t="s">
        <v>3</v>
      </c>
      <c r="E34" s="12">
        <f>SUM(E31:E33)*(1+'Fane 14. Nøgletal'!C14)^4</f>
        <v>0</v>
      </c>
      <c r="F34" s="13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4" t="s">
        <v>224</v>
      </c>
      <c r="C36" s="95"/>
      <c r="D36" s="95"/>
      <c r="E36" s="95"/>
      <c r="F36" s="96"/>
      <c r="G36" s="1"/>
    </row>
    <row r="37" spans="1:7" x14ac:dyDescent="0.25">
      <c r="A37" s="1"/>
      <c r="B37" s="53" t="s">
        <v>18</v>
      </c>
      <c r="C37" s="53" t="s">
        <v>12</v>
      </c>
      <c r="D37" s="54"/>
      <c r="E37" s="53" t="s">
        <v>34</v>
      </c>
      <c r="F37" s="37"/>
      <c r="G37" s="1"/>
    </row>
    <row r="38" spans="1:7" x14ac:dyDescent="0.25">
      <c r="A38" s="1"/>
      <c r="B38" s="25" t="s">
        <v>289</v>
      </c>
      <c r="C38" s="22">
        <v>0</v>
      </c>
      <c r="D38" s="14" t="s">
        <v>3</v>
      </c>
      <c r="E38" s="9">
        <v>0</v>
      </c>
      <c r="F38" s="14" t="s">
        <v>3</v>
      </c>
      <c r="G38" s="1"/>
    </row>
    <row r="39" spans="1:7" x14ac:dyDescent="0.25">
      <c r="A39" s="1"/>
      <c r="B39" s="38" t="s">
        <v>223</v>
      </c>
      <c r="C39" s="12">
        <f>SUM(C38:C38)</f>
        <v>0</v>
      </c>
      <c r="D39" s="13" t="s">
        <v>3</v>
      </c>
      <c r="E39" s="12">
        <f>SUM(E38:E38)</f>
        <v>0</v>
      </c>
      <c r="F39" s="13" t="s">
        <v>3</v>
      </c>
      <c r="G39" s="1"/>
    </row>
    <row r="40" spans="1:7" x14ac:dyDescent="0.25">
      <c r="A40" s="1"/>
      <c r="B40" s="27" t="s">
        <v>10</v>
      </c>
      <c r="C40" s="28">
        <f>-C39*'Fane 5. Individuelt eff. krav'!G12</f>
        <v>0</v>
      </c>
      <c r="D40" s="29" t="s">
        <v>3</v>
      </c>
      <c r="E40" s="28">
        <f>-E39*'Fane 5. Individuelt eff. krav'!G12</f>
        <v>0</v>
      </c>
      <c r="F40" s="29" t="s">
        <v>3</v>
      </c>
      <c r="G40" s="1"/>
    </row>
    <row r="41" spans="1:7" x14ac:dyDescent="0.25">
      <c r="A41" s="1"/>
      <c r="B41" s="27" t="s">
        <v>114</v>
      </c>
      <c r="C41" s="28">
        <f>-C39*'Fane 14. Nøgletal'!C29</f>
        <v>0</v>
      </c>
      <c r="D41" s="29" t="s">
        <v>3</v>
      </c>
      <c r="E41" s="28">
        <f>-E39*'Fane 14. Nøgletal'!C24</f>
        <v>0</v>
      </c>
      <c r="F41" s="29" t="s">
        <v>3</v>
      </c>
      <c r="G41" s="1"/>
    </row>
    <row r="42" spans="1:7" x14ac:dyDescent="0.25">
      <c r="A42" s="1"/>
      <c r="B42" s="38" t="s">
        <v>225</v>
      </c>
      <c r="C42" s="12">
        <f>SUM(C39:C41)*(1+'Fane 14. Nøgletal'!C14)^5</f>
        <v>0</v>
      </c>
      <c r="D42" s="13" t="s">
        <v>3</v>
      </c>
      <c r="E42" s="12">
        <f>SUM(E39:E41)*(1+'Fane 14. Nøgletal'!C14)^5</f>
        <v>0</v>
      </c>
      <c r="F42" s="13" t="s">
        <v>3</v>
      </c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hJBp6eOf9eO2R+wJT9NgBeXpTvQy80+ckw39ioNgHhtc8SjPMWWY/UjxGtMq9WK7PdOXxcp8Foa4yMIzuUSOuw==" saltValue="bwv4J8WoQB7axaHFOFZKXA==" spinCount="100000" sheet="1" objects="1" scenarios="1"/>
  <mergeCells count="5">
    <mergeCell ref="B3:F4"/>
    <mergeCell ref="B8:F8"/>
    <mergeCell ref="B20:F20"/>
    <mergeCell ref="B28:F28"/>
    <mergeCell ref="B36:F36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2" t="s">
        <v>136</v>
      </c>
      <c r="C3" s="102"/>
      <c r="D3" s="102"/>
      <c r="E3" s="102"/>
      <c r="F3" s="102"/>
      <c r="G3" s="1"/>
    </row>
    <row r="4" spans="1:7" ht="15" customHeight="1" x14ac:dyDescent="0.25">
      <c r="A4" s="1"/>
      <c r="B4" s="102"/>
      <c r="C4" s="102"/>
      <c r="D4" s="102"/>
      <c r="E4" s="102"/>
      <c r="F4" s="102"/>
      <c r="G4" s="1"/>
    </row>
    <row r="5" spans="1:7" x14ac:dyDescent="0.25">
      <c r="A5" s="1"/>
      <c r="B5" s="102"/>
      <c r="C5" s="102"/>
      <c r="D5" s="102"/>
      <c r="E5" s="102"/>
      <c r="F5" s="102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103</v>
      </c>
      <c r="C8" s="95"/>
      <c r="D8" s="95"/>
      <c r="E8" s="95"/>
      <c r="F8" s="96"/>
      <c r="G8" s="1"/>
    </row>
    <row r="9" spans="1:7" x14ac:dyDescent="0.25">
      <c r="A9" s="1"/>
      <c r="B9" s="123" t="s">
        <v>226</v>
      </c>
      <c r="C9" s="124"/>
      <c r="D9" s="125"/>
      <c r="E9" s="9">
        <v>0</v>
      </c>
      <c r="F9" s="14" t="s">
        <v>3</v>
      </c>
      <c r="G9" s="1"/>
    </row>
    <row r="10" spans="1:7" x14ac:dyDescent="0.25">
      <c r="A10" s="1"/>
      <c r="B10" s="88" t="s">
        <v>10</v>
      </c>
      <c r="C10" s="89"/>
      <c r="D10" s="90"/>
      <c r="E10" s="9">
        <f>-E9*'Fane 5. Individuelt eff. krav'!G12</f>
        <v>0</v>
      </c>
      <c r="F10" s="14" t="s">
        <v>3</v>
      </c>
      <c r="G10" s="1"/>
    </row>
    <row r="11" spans="1:7" x14ac:dyDescent="0.25">
      <c r="A11" s="1"/>
      <c r="B11" s="88" t="s">
        <v>26</v>
      </c>
      <c r="C11" s="89"/>
      <c r="D11" s="90"/>
      <c r="E11" s="9">
        <f>-E9*'Fane 14. Nøgletal'!C29</f>
        <v>0</v>
      </c>
      <c r="F11" s="14" t="s">
        <v>3</v>
      </c>
      <c r="G11" s="1"/>
    </row>
    <row r="12" spans="1:7" x14ac:dyDescent="0.25">
      <c r="A12" s="1"/>
      <c r="B12" s="94" t="s">
        <v>105</v>
      </c>
      <c r="C12" s="95"/>
      <c r="D12" s="96"/>
      <c r="E12" s="12">
        <f>SUM(E9:E11)*(1+'Fane 14. Nøgletal'!C14)^2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4" t="s">
        <v>104</v>
      </c>
      <c r="C14" s="95"/>
      <c r="D14" s="95"/>
      <c r="E14" s="95"/>
      <c r="F14" s="96"/>
      <c r="G14" s="1"/>
    </row>
    <row r="15" spans="1:7" ht="15" customHeight="1" x14ac:dyDescent="0.25">
      <c r="A15" s="1"/>
      <c r="B15" s="123" t="s">
        <v>226</v>
      </c>
      <c r="C15" s="124"/>
      <c r="D15" s="125"/>
      <c r="E15" s="9">
        <v>0</v>
      </c>
      <c r="F15" s="14" t="s">
        <v>3</v>
      </c>
      <c r="G15" s="1"/>
    </row>
    <row r="16" spans="1:7" x14ac:dyDescent="0.25">
      <c r="A16" s="1"/>
      <c r="B16" s="88" t="s">
        <v>10</v>
      </c>
      <c r="C16" s="89"/>
      <c r="D16" s="90"/>
      <c r="E16" s="9">
        <f>-E15*'Fane 5. Individuelt eff. krav'!G12</f>
        <v>0</v>
      </c>
      <c r="F16" s="14" t="s">
        <v>3</v>
      </c>
      <c r="G16" s="1"/>
    </row>
    <row r="17" spans="1:7" x14ac:dyDescent="0.25">
      <c r="A17" s="1"/>
      <c r="B17" s="88" t="s">
        <v>26</v>
      </c>
      <c r="C17" s="89"/>
      <c r="D17" s="90"/>
      <c r="E17" s="9">
        <f>-E15*'Fane 14. Nøgletal'!C29</f>
        <v>0</v>
      </c>
      <c r="F17" s="14" t="s">
        <v>3</v>
      </c>
      <c r="G17" s="1"/>
    </row>
    <row r="18" spans="1:7" x14ac:dyDescent="0.25">
      <c r="A18" s="1"/>
      <c r="B18" s="94" t="s">
        <v>106</v>
      </c>
      <c r="C18" s="95"/>
      <c r="D18" s="96"/>
      <c r="E18" s="12">
        <f>SUM(E15:E17)*(1+'Fane 14. Nøgletal'!C14)^3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4" t="s">
        <v>155</v>
      </c>
      <c r="C20" s="95"/>
      <c r="D20" s="95"/>
      <c r="E20" s="95"/>
      <c r="F20" s="96"/>
      <c r="G20" s="1"/>
    </row>
    <row r="21" spans="1:7" ht="15" customHeight="1" x14ac:dyDescent="0.25">
      <c r="A21" s="1"/>
      <c r="B21" s="123" t="s">
        <v>226</v>
      </c>
      <c r="C21" s="124"/>
      <c r="D21" s="125"/>
      <c r="E21" s="9">
        <v>0</v>
      </c>
      <c r="F21" s="14" t="s">
        <v>3</v>
      </c>
      <c r="G21" s="1"/>
    </row>
    <row r="22" spans="1:7" x14ac:dyDescent="0.25">
      <c r="A22" s="1"/>
      <c r="B22" s="88" t="s">
        <v>10</v>
      </c>
      <c r="C22" s="89"/>
      <c r="D22" s="90"/>
      <c r="E22" s="9">
        <f>-E21*'Fane 5. Individuelt eff. krav'!G12</f>
        <v>0</v>
      </c>
      <c r="F22" s="14" t="s">
        <v>3</v>
      </c>
      <c r="G22" s="1"/>
    </row>
    <row r="23" spans="1:7" x14ac:dyDescent="0.25">
      <c r="A23" s="1"/>
      <c r="B23" s="88" t="s">
        <v>26</v>
      </c>
      <c r="C23" s="89"/>
      <c r="D23" s="90"/>
      <c r="E23" s="9">
        <f>-E21*'Fane 14. Nøgletal'!C29</f>
        <v>0</v>
      </c>
      <c r="F23" s="14" t="s">
        <v>3</v>
      </c>
      <c r="G23" s="1"/>
    </row>
    <row r="24" spans="1:7" x14ac:dyDescent="0.25">
      <c r="A24" s="1"/>
      <c r="B24" s="94" t="s">
        <v>156</v>
      </c>
      <c r="C24" s="95"/>
      <c r="D24" s="96"/>
      <c r="E24" s="12">
        <f>SUM(E21:E23)*(1+'Fane 14. Nøgletal'!C14)^4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4" t="s">
        <v>227</v>
      </c>
      <c r="C26" s="95"/>
      <c r="D26" s="95"/>
      <c r="E26" s="95"/>
      <c r="F26" s="96"/>
      <c r="G26" s="1"/>
    </row>
    <row r="27" spans="1:7" ht="15" customHeight="1" x14ac:dyDescent="0.25">
      <c r="A27" s="1"/>
      <c r="B27" s="123" t="s">
        <v>226</v>
      </c>
      <c r="C27" s="124"/>
      <c r="D27" s="125"/>
      <c r="E27" s="9">
        <v>0</v>
      </c>
      <c r="F27" s="14" t="s">
        <v>3</v>
      </c>
      <c r="G27" s="1"/>
    </row>
    <row r="28" spans="1:7" x14ac:dyDescent="0.25">
      <c r="A28" s="1"/>
      <c r="B28" s="88" t="s">
        <v>10</v>
      </c>
      <c r="C28" s="89"/>
      <c r="D28" s="90"/>
      <c r="E28" s="9">
        <f>-E27*'Fane 5. Individuelt eff. krav'!G12</f>
        <v>0</v>
      </c>
      <c r="F28" s="14" t="s">
        <v>3</v>
      </c>
      <c r="G28" s="1"/>
    </row>
    <row r="29" spans="1:7" x14ac:dyDescent="0.25">
      <c r="A29" s="1"/>
      <c r="B29" s="88" t="s">
        <v>26</v>
      </c>
      <c r="C29" s="89"/>
      <c r="D29" s="90"/>
      <c r="E29" s="9">
        <f>-E27*'Fane 14. Nøgletal'!C29</f>
        <v>0</v>
      </c>
      <c r="F29" s="14" t="s">
        <v>3</v>
      </c>
      <c r="G29" s="1"/>
    </row>
    <row r="30" spans="1:7" x14ac:dyDescent="0.25">
      <c r="A30" s="1"/>
      <c r="B30" s="94" t="s">
        <v>228</v>
      </c>
      <c r="C30" s="95"/>
      <c r="D30" s="96"/>
      <c r="E30" s="12">
        <f>SUM(E27:E29)*(1+'Fane 14. Nøgletal'!C14)^5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ZAtDuMwwBwRgfAzLWHWx750s0zCUR6KspjlbFoRiXv2m6u9MQKF/tPR1ot0pTkf4kwPVNnOYcZq0LLOURS4pcQ==" saltValue="bwBWpguf8EMakfZPKhd0dw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2" t="s">
        <v>157</v>
      </c>
      <c r="C3" s="102"/>
      <c r="D3" s="102"/>
      <c r="E3" s="102"/>
      <c r="F3" s="102"/>
      <c r="G3" s="1"/>
    </row>
    <row r="4" spans="1:7" ht="25.5" customHeight="1" x14ac:dyDescent="0.25">
      <c r="A4" s="1"/>
      <c r="B4" s="102"/>
      <c r="C4" s="102"/>
      <c r="D4" s="102"/>
      <c r="E4" s="102"/>
      <c r="F4" s="10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158</v>
      </c>
      <c r="C8" s="95"/>
      <c r="D8" s="95"/>
      <c r="E8" s="95"/>
      <c r="F8" s="96"/>
      <c r="G8" s="1"/>
    </row>
    <row r="9" spans="1:7" ht="15" customHeight="1" x14ac:dyDescent="0.2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8XxY+NZpFvJE4G8cYDmeDf2wDZWWwmrZFSAX2F9U0ZC5xwnXxmph4VOAI3KCA3YY9NLPGjqg1oE/CzxCbXryGw==" saltValue="uCgSoAj4wVyDCRRZ0sS/g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2" t="s">
        <v>133</v>
      </c>
      <c r="C3" s="102"/>
      <c r="D3" s="102"/>
      <c r="E3" s="102"/>
      <c r="F3" s="102"/>
      <c r="G3" s="1"/>
    </row>
    <row r="4" spans="1:7" ht="25.5" customHeight="1" x14ac:dyDescent="0.25">
      <c r="A4" s="1"/>
      <c r="B4" s="102"/>
      <c r="C4" s="102"/>
      <c r="D4" s="102"/>
      <c r="E4" s="102"/>
      <c r="F4" s="10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107</v>
      </c>
      <c r="C8" s="95"/>
      <c r="D8" s="95"/>
      <c r="E8" s="95"/>
      <c r="F8" s="96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4" t="s">
        <v>108</v>
      </c>
      <c r="C14" s="95"/>
      <c r="D14" s="95"/>
      <c r="E14" s="95"/>
      <c r="F14" s="96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25">
      <c r="A16" s="1"/>
      <c r="B16" s="25" t="s">
        <v>268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4" t="s">
        <v>169</v>
      </c>
      <c r="C20" s="95"/>
      <c r="D20" s="95"/>
      <c r="E20" s="95"/>
      <c r="F20" s="96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25">
      <c r="A22" s="1"/>
      <c r="B22" s="25" t="s">
        <v>268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4" t="s">
        <v>231</v>
      </c>
      <c r="C26" s="95"/>
      <c r="D26" s="95"/>
      <c r="E26" s="95"/>
      <c r="F26" s="96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25">
      <c r="A28" s="1"/>
      <c r="B28" s="25" t="s">
        <v>268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V39L0oyg7DXMUoFCG0+Sb7i3drZQiSEDYJT01S6sFh1aeY/iZ9yo2IEQPIxnve4QtO5PL5hStzfuWXwzFbAXUw==" saltValue="8UQT9lmyfk+dI6+EBLQjY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2" t="s">
        <v>189</v>
      </c>
      <c r="C3" s="102"/>
      <c r="D3" s="1"/>
    </row>
    <row r="4" spans="1:4" ht="25.5" customHeight="1" x14ac:dyDescent="0.25">
      <c r="A4" s="1"/>
      <c r="B4" s="102"/>
      <c r="C4" s="10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64" t="s">
        <v>137</v>
      </c>
      <c r="C9" s="26">
        <v>1.2699999999999999E-2</v>
      </c>
      <c r="D9" s="1"/>
    </row>
    <row r="10" spans="1:4" x14ac:dyDescent="0.25">
      <c r="A10" s="1"/>
      <c r="B10" s="64" t="s">
        <v>138</v>
      </c>
      <c r="C10" s="26">
        <v>1.7500000000000002E-2</v>
      </c>
      <c r="D10" s="1"/>
    </row>
    <row r="11" spans="1:4" x14ac:dyDescent="0.25">
      <c r="A11" s="1"/>
      <c r="B11" s="64" t="s">
        <v>24</v>
      </c>
      <c r="C11" s="26">
        <v>1.6899999999999998E-2</v>
      </c>
      <c r="D11" s="1"/>
    </row>
    <row r="12" spans="1:4" x14ac:dyDescent="0.25">
      <c r="A12" s="1"/>
      <c r="B12" s="39" t="s">
        <v>254</v>
      </c>
      <c r="C12" s="40">
        <v>1.9699999999999999E-2</v>
      </c>
      <c r="D12" s="1"/>
    </row>
    <row r="13" spans="1:4" x14ac:dyDescent="0.25">
      <c r="A13" s="1"/>
      <c r="B13" s="39" t="s">
        <v>162</v>
      </c>
      <c r="C13" s="40">
        <v>1.2200000000000001E-2</v>
      </c>
      <c r="D13" s="1"/>
    </row>
    <row r="14" spans="1:4" x14ac:dyDescent="0.25">
      <c r="A14" s="1"/>
      <c r="B14" s="64" t="s">
        <v>253</v>
      </c>
      <c r="C14" s="50">
        <v>3.3E-3</v>
      </c>
      <c r="D14" s="1"/>
    </row>
    <row r="15" spans="1:4" x14ac:dyDescent="0.25">
      <c r="A15" s="1"/>
      <c r="B15" s="38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38" t="s">
        <v>121</v>
      </c>
      <c r="C18" s="20"/>
      <c r="D18" s="1"/>
    </row>
    <row r="19" spans="1:4" x14ac:dyDescent="0.25">
      <c r="A19" s="1"/>
      <c r="B19" s="64" t="s">
        <v>139</v>
      </c>
      <c r="C19" s="23">
        <v>9.1000000000000004E-3</v>
      </c>
      <c r="D19" s="1"/>
    </row>
    <row r="20" spans="1:4" x14ac:dyDescent="0.25">
      <c r="A20" s="1"/>
      <c r="B20" s="64" t="s">
        <v>190</v>
      </c>
      <c r="C20" s="23">
        <v>1.77E-2</v>
      </c>
      <c r="D20" s="1"/>
    </row>
    <row r="21" spans="1:4" x14ac:dyDescent="0.25">
      <c r="A21" s="1"/>
      <c r="B21" s="64" t="s">
        <v>191</v>
      </c>
      <c r="C21" s="23">
        <v>8.6999999999999994E-3</v>
      </c>
      <c r="D21" s="1"/>
    </row>
    <row r="22" spans="1:4" x14ac:dyDescent="0.25">
      <c r="A22" s="1"/>
      <c r="B22" s="64" t="s">
        <v>140</v>
      </c>
      <c r="C22" s="41">
        <v>2.8400000000000002E-2</v>
      </c>
      <c r="D22" s="1"/>
    </row>
    <row r="23" spans="1:4" x14ac:dyDescent="0.25">
      <c r="A23" s="1"/>
      <c r="B23" s="64" t="s">
        <v>192</v>
      </c>
      <c r="C23" s="41">
        <v>2.75E-2</v>
      </c>
      <c r="D23" s="1"/>
    </row>
    <row r="24" spans="1:4" x14ac:dyDescent="0.25">
      <c r="A24" s="1"/>
      <c r="B24" s="64" t="s">
        <v>193</v>
      </c>
      <c r="C24" s="41">
        <v>1.4800000000000001E-2</v>
      </c>
      <c r="D24" s="1"/>
    </row>
    <row r="25" spans="1:4" x14ac:dyDescent="0.25">
      <c r="A25" s="1"/>
      <c r="B25" s="38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38" t="s">
        <v>122</v>
      </c>
      <c r="C28" s="20"/>
      <c r="D28" s="1"/>
    </row>
    <row r="29" spans="1:4" x14ac:dyDescent="0.25">
      <c r="A29" s="1"/>
      <c r="B29" s="64" t="s">
        <v>141</v>
      </c>
      <c r="C29" s="26">
        <v>0.02</v>
      </c>
      <c r="D29" s="1"/>
    </row>
    <row r="30" spans="1:4" x14ac:dyDescent="0.25">
      <c r="A30" s="1"/>
      <c r="B30" s="38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vwSb3DuuQsuTIoo8ppuGNj/Mg28z6fsBtz0JXy1ZIbl3864dLsuEUpn6vmCROJJeVjT56qrdBz69DlYl2q6ydg==" saltValue="Eh/pZVdWuAAkTj55g7SfTQ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6" t="s">
        <v>194</v>
      </c>
      <c r="C3" s="86"/>
      <c r="D3" s="86"/>
      <c r="E3" s="1"/>
    </row>
    <row r="4" spans="1:5" ht="15" customHeight="1" x14ac:dyDescent="0.25">
      <c r="A4" s="1"/>
      <c r="B4" s="86"/>
      <c r="C4" s="86"/>
      <c r="D4" s="86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260</v>
      </c>
      <c r="C9" s="7">
        <f>'Fane 3. Omkostninger i ØR2021'!E20</f>
        <v>120082721.41107364</v>
      </c>
      <c r="D9" s="8" t="s">
        <v>3</v>
      </c>
      <c r="E9" s="1"/>
    </row>
    <row r="10" spans="1:5" ht="17.100000000000001" customHeight="1" x14ac:dyDescent="0.25">
      <c r="A10" s="1"/>
      <c r="B10" s="52" t="s">
        <v>43</v>
      </c>
      <c r="C10" s="7">
        <f>'Fane 10.1. Varige tillæg'!C18</f>
        <v>1017223.7974</v>
      </c>
      <c r="D10" s="8" t="s">
        <v>3</v>
      </c>
      <c r="E10" s="1"/>
    </row>
    <row r="11" spans="1:5" ht="17.100000000000001" customHeight="1" x14ac:dyDescent="0.25">
      <c r="A11" s="1"/>
      <c r="B11" s="52" t="s">
        <v>44</v>
      </c>
      <c r="C11" s="9">
        <f>'Fane 10.1. Varige tillæg'!E18</f>
        <v>3966107.1046000002</v>
      </c>
      <c r="D11" s="8" t="s">
        <v>3</v>
      </c>
      <c r="E11" s="1"/>
    </row>
    <row r="12" spans="1:5" ht="17.100000000000001" customHeight="1" x14ac:dyDescent="0.25">
      <c r="A12" s="1"/>
      <c r="B12" s="52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2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2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52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52" t="s">
        <v>20</v>
      </c>
      <c r="C16" s="9">
        <f>SUM(C9:C15)*'Fane 14. Nøgletal'!C14</f>
        <v>412717.97263314301</v>
      </c>
      <c r="D16" s="8" t="s">
        <v>3</v>
      </c>
      <c r="E16" s="1"/>
    </row>
    <row r="17" spans="1:5" ht="17.100000000000001" customHeight="1" x14ac:dyDescent="0.25">
      <c r="A17" s="1"/>
      <c r="B17" s="52" t="s">
        <v>10</v>
      </c>
      <c r="C17" s="9">
        <f>-SUM(C9:C16)*'Fane 5. Individuelt eff. krav'!G12</f>
        <v>-1863161.4087399917</v>
      </c>
      <c r="D17" s="8" t="s">
        <v>3</v>
      </c>
      <c r="E17" s="1"/>
    </row>
    <row r="18" spans="1:5" ht="17.100000000000001" customHeight="1" x14ac:dyDescent="0.25">
      <c r="A18" s="1"/>
      <c r="B18" s="52" t="s">
        <v>26</v>
      </c>
      <c r="C18" s="9">
        <f>-'Fane 4.1. Gen. krav - drift'!G39</f>
        <v>-741383.35196503566</v>
      </c>
      <c r="D18" s="8" t="s">
        <v>3</v>
      </c>
      <c r="E18" s="1"/>
    </row>
    <row r="19" spans="1:5" ht="17.100000000000001" customHeight="1" x14ac:dyDescent="0.25">
      <c r="A19" s="1"/>
      <c r="B19" s="52" t="s">
        <v>27</v>
      </c>
      <c r="C19" s="9">
        <f>-'Fane 4.2. Gen. krav - anlæg'!G37</f>
        <v>-1485975.390563068</v>
      </c>
      <c r="D19" s="8" t="s">
        <v>3</v>
      </c>
      <c r="E19" s="1"/>
    </row>
    <row r="20" spans="1:5" ht="17.100000000000001" customHeight="1" x14ac:dyDescent="0.25">
      <c r="A20" s="1"/>
      <c r="B20" s="58" t="s">
        <v>22</v>
      </c>
      <c r="C20" s="10">
        <f>SUM(C9:C19)</f>
        <v>121388250.13443866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omk.'!C17+'Fane 6. Ikke-påvirkelige omk.'!C21+'Fane 6. Ikke-påvirkelige omk.'!C29</f>
        <v>7534326.2305081449</v>
      </c>
      <c r="D22" s="11" t="s">
        <v>3</v>
      </c>
      <c r="E22" s="1"/>
    </row>
    <row r="23" spans="1:5" ht="15" customHeight="1" x14ac:dyDescent="0.25">
      <c r="A23" s="1"/>
      <c r="B23" s="38" t="s">
        <v>94</v>
      </c>
      <c r="C23" s="32"/>
      <c r="D23" s="20"/>
      <c r="E23" s="1"/>
    </row>
    <row r="24" spans="1:5" ht="15" customHeight="1" x14ac:dyDescent="0.25">
      <c r="A24" s="1"/>
      <c r="B24" s="58" t="s">
        <v>94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93</v>
      </c>
      <c r="C25" s="32"/>
      <c r="D25" s="20"/>
      <c r="E25" s="1"/>
    </row>
    <row r="26" spans="1:5" ht="15" customHeight="1" x14ac:dyDescent="0.25">
      <c r="A26" s="1"/>
      <c r="B26" s="52" t="s">
        <v>89</v>
      </c>
      <c r="C26" s="9">
        <f>'Fane 10.2. Engangstillæg'!C18</f>
        <v>883946.53040410776</v>
      </c>
      <c r="D26" s="8" t="s">
        <v>3</v>
      </c>
      <c r="E26" s="1"/>
    </row>
    <row r="27" spans="1:5" ht="15" customHeight="1" x14ac:dyDescent="0.25">
      <c r="A27" s="1"/>
      <c r="B27" s="52" t="s">
        <v>90</v>
      </c>
      <c r="C27" s="9">
        <f>'Fane 10.2. Engangstillæg'!E18</f>
        <v>0</v>
      </c>
      <c r="D27" s="8" t="s">
        <v>3</v>
      </c>
      <c r="E27" s="1"/>
    </row>
    <row r="28" spans="1:5" x14ac:dyDescent="0.25">
      <c r="A28" s="1"/>
      <c r="B28" s="58" t="s">
        <v>95</v>
      </c>
      <c r="C28" s="10">
        <f>SUM(C26:C27)</f>
        <v>883946.53040410776</v>
      </c>
      <c r="D28" s="11" t="s">
        <v>3</v>
      </c>
      <c r="E28" s="1"/>
    </row>
    <row r="29" spans="1:5" x14ac:dyDescent="0.25">
      <c r="A29" s="1"/>
      <c r="B29" s="38" t="s">
        <v>187</v>
      </c>
      <c r="C29" s="32"/>
      <c r="D29" s="20"/>
      <c r="E29" s="1"/>
    </row>
    <row r="30" spans="1:5" x14ac:dyDescent="0.25">
      <c r="A30" s="1"/>
      <c r="B30" s="36" t="s">
        <v>294</v>
      </c>
      <c r="C30" s="10">
        <f>'Fane 7. Kontrol af ØR2020'!E34</f>
        <v>0</v>
      </c>
      <c r="D30" s="11" t="s">
        <v>3</v>
      </c>
      <c r="E30" s="1"/>
    </row>
    <row r="31" spans="1:5" ht="15" customHeight="1" x14ac:dyDescent="0.25">
      <c r="A31" s="1"/>
      <c r="B31" s="38" t="s">
        <v>195</v>
      </c>
      <c r="C31" s="32"/>
      <c r="D31" s="20"/>
      <c r="E31" s="1"/>
    </row>
    <row r="32" spans="1:5" x14ac:dyDescent="0.25">
      <c r="A32" s="1"/>
      <c r="B32" s="36" t="s">
        <v>195</v>
      </c>
      <c r="C32" s="10">
        <f>'Fane 8. Korrektion af ØR2020'!E17</f>
        <v>0</v>
      </c>
      <c r="D32" s="11" t="s">
        <v>3</v>
      </c>
      <c r="E32" s="1"/>
    </row>
    <row r="33" spans="1:5" x14ac:dyDescent="0.25">
      <c r="A33" s="1"/>
      <c r="B33" s="35" t="s">
        <v>258</v>
      </c>
      <c r="C33" s="32"/>
      <c r="D33" s="20"/>
      <c r="E33" s="1"/>
    </row>
    <row r="34" spans="1:5" x14ac:dyDescent="0.25">
      <c r="A34" s="1"/>
      <c r="B34" s="65" t="s">
        <v>259</v>
      </c>
      <c r="C34" s="10">
        <v>0</v>
      </c>
      <c r="D34" s="11" t="s">
        <v>3</v>
      </c>
      <c r="E34" s="1"/>
    </row>
    <row r="35" spans="1:5" x14ac:dyDescent="0.25">
      <c r="A35" s="1"/>
      <c r="B35" s="38" t="s">
        <v>32</v>
      </c>
      <c r="C35" s="34">
        <f>SUM(C32,C30,C28,C24,C22,C20)</f>
        <v>129806522.89535092</v>
      </c>
      <c r="D35" s="35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QGUjUPO2P4CfYoStmo7JNUFfz83t9AgxnT0WVmMnD5A5YoLyTNlRDejhRQIt/Vu8QvFRsPaVGtp7853qkpaQ==" saltValue="HSRcKmIXTS3/3uSJ7Ld+L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6" t="s">
        <v>196</v>
      </c>
      <c r="C3" s="86"/>
      <c r="D3" s="86"/>
      <c r="E3" s="1"/>
    </row>
    <row r="4" spans="1:5" ht="15" customHeight="1" x14ac:dyDescent="0.25">
      <c r="A4" s="1"/>
      <c r="B4" s="86"/>
      <c r="C4" s="86"/>
      <c r="D4" s="86"/>
      <c r="E4" s="1"/>
    </row>
    <row r="5" spans="1:5" x14ac:dyDescent="0.25">
      <c r="A5" s="1"/>
      <c r="B5" s="87"/>
      <c r="C5" s="87"/>
      <c r="D5" s="87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151</v>
      </c>
      <c r="C9" s="7">
        <f>'Fane 2.1. Økonomisk ramme 2022'!C20</f>
        <v>121388250.13443866</v>
      </c>
      <c r="D9" s="8" t="s">
        <v>3</v>
      </c>
      <c r="E9" s="1"/>
    </row>
    <row r="10" spans="1:5" ht="15" customHeight="1" x14ac:dyDescent="0.25">
      <c r="A10" s="1"/>
      <c r="B10" s="52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2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400581.22544364759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-1808371.6479577508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drift'!G46</f>
        <v>-728953.31868598994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anlæg'!G44</f>
        <v>-1468814.0985335177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117782692.29470505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omk.'!C17*(1+'Fane 14. Nøgletal'!C14)+'Fane 6. Ikke-påvirkelige omk.'!C22+'Fane 6. Ikke-påvirkelige omk.'!C30</f>
        <v>3812867.3070688215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8" t="s">
        <v>94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2" t="s">
        <v>89</v>
      </c>
      <c r="C22" s="9">
        <f>'Fane 10.2. Engangstillæg'!C26</f>
        <v>0</v>
      </c>
      <c r="D22" s="8" t="s">
        <v>3</v>
      </c>
      <c r="E22" s="1"/>
    </row>
    <row r="23" spans="1:5" ht="15" customHeight="1" x14ac:dyDescent="0.25">
      <c r="A23" s="1"/>
      <c r="B23" s="52" t="s">
        <v>90</v>
      </c>
      <c r="C23" s="9">
        <f>'Fane 10.2. Engangstillæg'!E26</f>
        <v>0</v>
      </c>
      <c r="D23" s="8" t="s">
        <v>3</v>
      </c>
      <c r="E23" s="1"/>
    </row>
    <row r="24" spans="1:5" ht="15" customHeight="1" x14ac:dyDescent="0.25">
      <c r="A24" s="1"/>
      <c r="B24" s="58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187</v>
      </c>
      <c r="C25" s="32"/>
      <c r="D25" s="20"/>
      <c r="E25" s="1"/>
    </row>
    <row r="26" spans="1:5" ht="15" customHeight="1" x14ac:dyDescent="0.25">
      <c r="A26" s="1"/>
      <c r="B26" s="36" t="s">
        <v>294</v>
      </c>
      <c r="C26" s="10">
        <f>'Fane 7. Kontrol af ØR2020'!E34</f>
        <v>0</v>
      </c>
      <c r="D26" s="11" t="s">
        <v>3</v>
      </c>
      <c r="E26" s="1"/>
    </row>
    <row r="27" spans="1:5" x14ac:dyDescent="0.25">
      <c r="A27" s="1"/>
      <c r="B27" s="35" t="s">
        <v>258</v>
      </c>
      <c r="C27" s="32"/>
      <c r="D27" s="20"/>
      <c r="E27" s="1"/>
    </row>
    <row r="28" spans="1:5" x14ac:dyDescent="0.25">
      <c r="A28" s="1"/>
      <c r="B28" s="65" t="s">
        <v>259</v>
      </c>
      <c r="C28" s="10">
        <v>0</v>
      </c>
      <c r="D28" s="11" t="s">
        <v>3</v>
      </c>
      <c r="E28" s="1"/>
    </row>
    <row r="29" spans="1:5" x14ac:dyDescent="0.25">
      <c r="A29" s="1"/>
      <c r="B29" s="38" t="s">
        <v>102</v>
      </c>
      <c r="C29" s="12">
        <f>SUM(C16,C18,C20,C24,C26,C28)</f>
        <v>121595559.60177387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2R/byTO5HWpdj0i+O0afxQwhf+1335jNjarHR3ekznFG06eA1tPxqOfkGoEi772GQmDP+64cvrkNiKV2uNnSMQ==" saltValue="qoNdK1Vh6CvKGy9Ywfb6j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6" t="s">
        <v>197</v>
      </c>
      <c r="C3" s="86"/>
      <c r="D3" s="86"/>
      <c r="E3" s="1"/>
    </row>
    <row r="4" spans="1:5" ht="15" customHeight="1" x14ac:dyDescent="0.25">
      <c r="A4" s="1"/>
      <c r="B4" s="86"/>
      <c r="C4" s="86"/>
      <c r="D4" s="86"/>
      <c r="E4" s="1"/>
    </row>
    <row r="5" spans="1:5" x14ac:dyDescent="0.25">
      <c r="A5" s="1"/>
      <c r="B5" s="87" t="s">
        <v>23</v>
      </c>
      <c r="C5" s="87"/>
      <c r="D5" s="87"/>
      <c r="E5" s="1"/>
    </row>
    <row r="6" spans="1:5" x14ac:dyDescent="0.25">
      <c r="A6" s="1"/>
      <c r="B6" s="51"/>
      <c r="C6" s="51"/>
      <c r="D6" s="5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152</v>
      </c>
      <c r="C9" s="7">
        <f>'Fane 2.2. Økonomisk ramme 2023'!C16</f>
        <v>117782692.29470505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388682.88457252667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-1754658.1413768015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drift'!G54</f>
        <v>-716731.68734490068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anlæg'!G55</f>
        <v>-1451850.9995198101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114248134.35103606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omk.'!C17*(1+'Fane 14. Nøgletal'!C14)^2+'Fane 6. Ikke-påvirkelige omk.'!C23+'Fane 6. Ikke-påvirkelige omk.'!C31</f>
        <v>3825449.7691821489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8" t="s">
        <v>94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2" t="s">
        <v>89</v>
      </c>
      <c r="C22" s="9">
        <f>'Fane 10.2. Engangstillæg'!C34</f>
        <v>0</v>
      </c>
      <c r="D22" s="8" t="s">
        <v>3</v>
      </c>
      <c r="E22" s="1"/>
    </row>
    <row r="23" spans="1:5" ht="15" customHeight="1" x14ac:dyDescent="0.25">
      <c r="A23" s="1"/>
      <c r="B23" s="52" t="s">
        <v>90</v>
      </c>
      <c r="C23" s="9">
        <f>'Fane 10.2. Engangstillæg'!E34</f>
        <v>0</v>
      </c>
      <c r="D23" s="8" t="s">
        <v>3</v>
      </c>
      <c r="E23" s="1"/>
    </row>
    <row r="24" spans="1:5" ht="15" customHeight="1" x14ac:dyDescent="0.25">
      <c r="A24" s="1"/>
      <c r="B24" s="58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5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153</v>
      </c>
      <c r="C27" s="12">
        <f>SUM(C16,C18,C20,C24,C26)</f>
        <v>118073584.1202182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T/wpfWQYYoGuyaZsFWrNQpdLJsIqkIeyoBdsEBT1vulIiNojELcXUzcGUrEUebBG8yF5hsZwzfdK1QD1he1zaQ==" saltValue="SVcHMDc0pX8OaidxKf9mm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6" t="s">
        <v>198</v>
      </c>
      <c r="C3" s="86"/>
      <c r="D3" s="86"/>
      <c r="E3" s="1"/>
    </row>
    <row r="4" spans="1:5" ht="15" customHeight="1" x14ac:dyDescent="0.25">
      <c r="A4" s="1"/>
      <c r="B4" s="86"/>
      <c r="C4" s="86"/>
      <c r="D4" s="86"/>
      <c r="E4" s="1"/>
    </row>
    <row r="5" spans="1:5" x14ac:dyDescent="0.25">
      <c r="A5" s="1"/>
      <c r="B5" s="87" t="s">
        <v>23</v>
      </c>
      <c r="C5" s="87"/>
      <c r="D5" s="87"/>
      <c r="E5" s="1"/>
    </row>
    <row r="6" spans="1:5" x14ac:dyDescent="0.25">
      <c r="A6" s="1"/>
      <c r="B6" s="51"/>
      <c r="C6" s="51"/>
      <c r="D6" s="5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199</v>
      </c>
      <c r="C9" s="7">
        <f>'Fane 2.3. Økonomisk ramme 2024'!C16</f>
        <v>114248134.35103606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377018.84335841896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-1702002.3500105378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drift'!G60</f>
        <v>-704714.96387487603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anlæg'!G61</f>
        <v>-1435083.8046225158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110783352.07588653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omk.'!C17*(1+'Fane 14. Nøgletal'!C14)^3+'Fane 6. Ikke-påvirkelige omk.'!C24+'Fane 6. Ikke-påvirkelige omk.'!C32</f>
        <v>3838073.7534204503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8" t="s">
        <v>94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2" t="s">
        <v>89</v>
      </c>
      <c r="C22" s="9">
        <f>'Fane 10.2. Engangstillæg'!C42</f>
        <v>0</v>
      </c>
      <c r="D22" s="8" t="s">
        <v>3</v>
      </c>
      <c r="E22" s="1"/>
    </row>
    <row r="23" spans="1:5" ht="15" customHeight="1" x14ac:dyDescent="0.25">
      <c r="A23" s="1"/>
      <c r="B23" s="52" t="s">
        <v>90</v>
      </c>
      <c r="C23" s="9">
        <f>'Fane 10.2. Engangstillæg'!E42</f>
        <v>0</v>
      </c>
      <c r="D23" s="8" t="s">
        <v>3</v>
      </c>
      <c r="E23" s="1"/>
    </row>
    <row r="24" spans="1:5" ht="15" customHeight="1" x14ac:dyDescent="0.25">
      <c r="A24" s="1"/>
      <c r="B24" s="58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5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200</v>
      </c>
      <c r="C27" s="12">
        <f>SUM(C16,C18,C20,C24,C26)</f>
        <v>114621425.82930699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gv5b0xwPzqRLZq05BZp8D3MWtPiFu/EK7z92Wzy8IlVgE7K2xZd37ZjtnDdPBDYO2JqiQk4/gC2CaP8dx5pprA==" saltValue="MRb35NN1nEAv+wHgNDUB8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2" t="s">
        <v>250</v>
      </c>
      <c r="C3" s="102"/>
      <c r="D3" s="102"/>
      <c r="E3" s="102"/>
      <c r="F3" s="102"/>
      <c r="G3" s="1"/>
    </row>
    <row r="4" spans="1:7" ht="29.25" customHeight="1" x14ac:dyDescent="0.25">
      <c r="A4" s="1"/>
      <c r="B4" s="102"/>
      <c r="C4" s="102"/>
      <c r="D4" s="102"/>
      <c r="E4" s="102"/>
      <c r="F4" s="10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282</v>
      </c>
      <c r="C8" s="32"/>
      <c r="D8" s="32"/>
      <c r="E8" s="32"/>
      <c r="F8" s="20"/>
      <c r="G8" s="1"/>
    </row>
    <row r="9" spans="1:7" ht="15" customHeight="1" x14ac:dyDescent="0.25">
      <c r="A9" s="1"/>
      <c r="B9" s="97" t="s">
        <v>25</v>
      </c>
      <c r="C9" s="98"/>
      <c r="D9" s="99"/>
      <c r="E9" s="7">
        <v>118637593.76234472</v>
      </c>
      <c r="F9" s="8" t="s">
        <v>3</v>
      </c>
      <c r="G9" s="1"/>
    </row>
    <row r="10" spans="1:7" ht="15" customHeight="1" x14ac:dyDescent="0.25">
      <c r="A10" s="1"/>
      <c r="B10" s="88" t="s">
        <v>43</v>
      </c>
      <c r="C10" s="89"/>
      <c r="D10" s="90"/>
      <c r="E10" s="7">
        <v>720739.0344</v>
      </c>
      <c r="F10" s="8" t="s">
        <v>3</v>
      </c>
      <c r="G10" s="1"/>
    </row>
    <row r="11" spans="1:7" ht="15" customHeight="1" x14ac:dyDescent="0.25">
      <c r="A11" s="1"/>
      <c r="B11" s="88" t="s">
        <v>44</v>
      </c>
      <c r="C11" s="89"/>
      <c r="D11" s="90"/>
      <c r="E11" s="9">
        <v>4386188.5284000002</v>
      </c>
      <c r="F11" s="8" t="s">
        <v>3</v>
      </c>
      <c r="G11" s="1"/>
    </row>
    <row r="12" spans="1:7" ht="15" customHeight="1" x14ac:dyDescent="0.25">
      <c r="A12" s="1"/>
      <c r="B12" s="88" t="s">
        <v>29</v>
      </c>
      <c r="C12" s="89"/>
      <c r="D12" s="90"/>
      <c r="E12" s="9">
        <v>0</v>
      </c>
      <c r="F12" s="8" t="s">
        <v>3</v>
      </c>
      <c r="G12" s="1"/>
    </row>
    <row r="13" spans="1:7" ht="15" customHeight="1" x14ac:dyDescent="0.25">
      <c r="A13" s="1"/>
      <c r="B13" s="97" t="s">
        <v>28</v>
      </c>
      <c r="C13" s="98"/>
      <c r="D13" s="99"/>
      <c r="E13" s="9">
        <v>0</v>
      </c>
      <c r="F13" s="8" t="s">
        <v>3</v>
      </c>
      <c r="G13" s="1"/>
    </row>
    <row r="14" spans="1:7" ht="15" customHeight="1" x14ac:dyDescent="0.25">
      <c r="A14" s="1"/>
      <c r="B14" s="97" t="s">
        <v>31</v>
      </c>
      <c r="C14" s="98"/>
      <c r="D14" s="99"/>
      <c r="E14" s="9">
        <v>0</v>
      </c>
      <c r="F14" s="8" t="s">
        <v>3</v>
      </c>
      <c r="G14" s="1"/>
    </row>
    <row r="15" spans="1:7" ht="15" customHeight="1" x14ac:dyDescent="0.25">
      <c r="A15" s="1"/>
      <c r="B15" s="97" t="s">
        <v>30</v>
      </c>
      <c r="C15" s="98"/>
      <c r="D15" s="99"/>
      <c r="E15" s="9">
        <v>0</v>
      </c>
      <c r="F15" s="8" t="s">
        <v>3</v>
      </c>
      <c r="G15" s="1"/>
    </row>
    <row r="16" spans="1:7" ht="15" customHeight="1" x14ac:dyDescent="0.25">
      <c r="A16" s="1"/>
      <c r="B16" s="97" t="s">
        <v>20</v>
      </c>
      <c r="C16" s="98"/>
      <c r="D16" s="99"/>
      <c r="E16" s="9">
        <v>2399465.1133843511</v>
      </c>
      <c r="F16" s="8" t="s">
        <v>3</v>
      </c>
      <c r="G16" s="1"/>
    </row>
    <row r="17" spans="1:7" ht="15" customHeight="1" x14ac:dyDescent="0.25">
      <c r="A17" s="1"/>
      <c r="B17" s="97" t="s">
        <v>10</v>
      </c>
      <c r="C17" s="98"/>
      <c r="D17" s="99"/>
      <c r="E17" s="9">
        <v>-2522879.7287705815</v>
      </c>
      <c r="F17" s="8" t="s">
        <v>3</v>
      </c>
      <c r="G17" s="1"/>
    </row>
    <row r="18" spans="1:7" ht="15" customHeight="1" x14ac:dyDescent="0.25">
      <c r="A18" s="1"/>
      <c r="B18" s="97" t="s">
        <v>26</v>
      </c>
      <c r="C18" s="98"/>
      <c r="D18" s="99"/>
      <c r="E18" s="9">
        <f>-'Fane 4.1. Gen. krav - drift'!G33</f>
        <v>-733265.67149468721</v>
      </c>
      <c r="F18" s="8" t="s">
        <v>3</v>
      </c>
      <c r="G18" s="1"/>
    </row>
    <row r="19" spans="1:7" ht="15" customHeight="1" x14ac:dyDescent="0.25">
      <c r="A19" s="1"/>
      <c r="B19" s="97" t="s">
        <v>27</v>
      </c>
      <c r="C19" s="98"/>
      <c r="D19" s="99"/>
      <c r="E19" s="9">
        <f>-'Fane 4.2. Gen. krav - anlæg'!G31</f>
        <v>-2805119.6271901648</v>
      </c>
      <c r="F19" s="8" t="s">
        <v>3</v>
      </c>
      <c r="G19" s="1"/>
    </row>
    <row r="20" spans="1:7" ht="15" customHeight="1" x14ac:dyDescent="0.25">
      <c r="A20" s="1"/>
      <c r="B20" s="58" t="s">
        <v>22</v>
      </c>
      <c r="C20" s="59"/>
      <c r="D20" s="66"/>
      <c r="E20" s="10">
        <f>SUM(E9:E19)</f>
        <v>120082721.41107364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91" t="s">
        <v>13</v>
      </c>
      <c r="C22" s="92"/>
      <c r="D22" s="93"/>
      <c r="E22" s="10">
        <v>3842024.3398882803</v>
      </c>
      <c r="F22" s="11" t="s">
        <v>3</v>
      </c>
      <c r="G22" s="1"/>
    </row>
    <row r="23" spans="1:7" ht="15" customHeight="1" x14ac:dyDescent="0.25">
      <c r="A23" s="1"/>
      <c r="B23" s="94" t="s">
        <v>94</v>
      </c>
      <c r="C23" s="95"/>
      <c r="D23" s="96"/>
      <c r="E23" s="32"/>
      <c r="F23" s="32"/>
      <c r="G23" s="1"/>
    </row>
    <row r="24" spans="1:7" ht="15" customHeight="1" x14ac:dyDescent="0.25">
      <c r="A24" s="1"/>
      <c r="B24" s="58" t="s">
        <v>94</v>
      </c>
      <c r="C24" s="43"/>
      <c r="D24" s="44"/>
      <c r="E24" s="10">
        <v>0</v>
      </c>
      <c r="F24" s="11" t="s">
        <v>3</v>
      </c>
      <c r="G24" s="1"/>
    </row>
    <row r="25" spans="1:7" x14ac:dyDescent="0.2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8" t="s">
        <v>89</v>
      </c>
      <c r="C26" s="89"/>
      <c r="D26" s="90"/>
      <c r="E26" s="9">
        <v>0</v>
      </c>
      <c r="F26" s="8" t="s">
        <v>3</v>
      </c>
      <c r="G26" s="1"/>
    </row>
    <row r="27" spans="1:7" ht="15" customHeight="1" x14ac:dyDescent="0.25">
      <c r="A27" s="1"/>
      <c r="B27" s="88" t="s">
        <v>90</v>
      </c>
      <c r="C27" s="89"/>
      <c r="D27" s="89"/>
      <c r="E27" s="9">
        <v>0</v>
      </c>
      <c r="F27" s="8" t="s">
        <v>3</v>
      </c>
      <c r="G27" s="1"/>
    </row>
    <row r="28" spans="1:7" ht="15" customHeight="1" x14ac:dyDescent="0.25">
      <c r="A28" s="1"/>
      <c r="B28" s="100" t="s">
        <v>95</v>
      </c>
      <c r="C28" s="101"/>
      <c r="D28" s="101"/>
      <c r="E28" s="45">
        <v>0</v>
      </c>
      <c r="F28" s="11" t="s">
        <v>3</v>
      </c>
      <c r="G28" s="1"/>
    </row>
    <row r="29" spans="1:7" ht="15" customHeight="1" x14ac:dyDescent="0.2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25">
      <c r="A30" s="1"/>
      <c r="B30" s="91" t="s">
        <v>185</v>
      </c>
      <c r="C30" s="92"/>
      <c r="D30" s="92"/>
      <c r="E30" s="45">
        <v>0</v>
      </c>
      <c r="F30" s="11" t="s">
        <v>3</v>
      </c>
      <c r="G30" s="1"/>
    </row>
    <row r="31" spans="1:7" x14ac:dyDescent="0.25">
      <c r="A31" s="1"/>
      <c r="B31" s="38" t="s">
        <v>148</v>
      </c>
      <c r="C31" s="32"/>
      <c r="D31" s="32"/>
      <c r="E31" s="32"/>
      <c r="F31" s="32"/>
      <c r="G31" s="1"/>
    </row>
    <row r="32" spans="1:7" ht="15.4" customHeight="1" x14ac:dyDescent="0.25">
      <c r="A32" s="1"/>
      <c r="B32" s="91" t="s">
        <v>148</v>
      </c>
      <c r="C32" s="92"/>
      <c r="D32" s="93"/>
      <c r="E32" s="10">
        <v>0</v>
      </c>
      <c r="F32" s="11" t="s">
        <v>3</v>
      </c>
      <c r="G32" s="1"/>
    </row>
    <row r="33" spans="1:7" x14ac:dyDescent="0.25">
      <c r="A33" s="1"/>
      <c r="B33" s="38" t="s">
        <v>251</v>
      </c>
      <c r="C33" s="32"/>
      <c r="D33" s="20"/>
      <c r="E33" s="12">
        <f>SUM(E32,E30,E28,E24,E22,E20)</f>
        <v>123924745.75096191</v>
      </c>
      <c r="F33" s="13" t="s">
        <v>3</v>
      </c>
      <c r="G33" s="1"/>
    </row>
    <row r="34" spans="1:7" ht="27" customHeight="1" x14ac:dyDescent="0.25">
      <c r="A34" s="1"/>
      <c r="B34" s="97" t="s">
        <v>252</v>
      </c>
      <c r="C34" s="98"/>
      <c r="D34" s="98"/>
      <c r="E34" s="98"/>
      <c r="F34" s="99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mHjUPh8Z9xBcbHmGoQ4SWZ1qHFJUc+WZQ6XSnhf26DHf4yXZDggXjKRDxilt5R5Ac6l8zMOnGaLvORvuGBMrMA==" saltValue="UA82vL8LdzD0CYS/KSFKKw==" spinCount="100000" sheet="1" objects="1" scenarios="1"/>
  <mergeCells count="20">
    <mergeCell ref="B18:D18"/>
    <mergeCell ref="B19:D19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26:D26"/>
    <mergeCell ref="B32:D32"/>
    <mergeCell ref="B22:D22"/>
    <mergeCell ref="B23:D23"/>
    <mergeCell ref="B34:F34"/>
    <mergeCell ref="B27:D27"/>
    <mergeCell ref="B28:D28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2"/>
      <c r="C1" s="42"/>
      <c r="D1" s="42"/>
      <c r="E1" s="42"/>
      <c r="F1" s="42"/>
      <c r="G1" s="42"/>
      <c r="H1" s="42"/>
      <c r="I1" s="1"/>
    </row>
    <row r="2" spans="1:9" ht="15" customHeight="1" x14ac:dyDescent="0.25">
      <c r="A2" s="1"/>
      <c r="B2" s="102" t="s">
        <v>130</v>
      </c>
      <c r="C2" s="102"/>
      <c r="D2" s="102"/>
      <c r="E2" s="102"/>
      <c r="F2" s="102"/>
      <c r="G2" s="102"/>
      <c r="H2" s="102"/>
      <c r="I2" s="1"/>
    </row>
    <row r="3" spans="1:9" ht="28.5" customHeight="1" x14ac:dyDescent="0.25">
      <c r="A3" s="1"/>
      <c r="B3" s="102"/>
      <c r="C3" s="102"/>
      <c r="D3" s="102"/>
      <c r="E3" s="102"/>
      <c r="F3" s="102"/>
      <c r="G3" s="102"/>
      <c r="H3" s="102"/>
      <c r="I3" s="1"/>
    </row>
    <row r="4" spans="1:9" x14ac:dyDescent="0.25">
      <c r="A4" s="1"/>
      <c r="B4" s="94" t="s">
        <v>56</v>
      </c>
      <c r="C4" s="95"/>
      <c r="D4" s="95"/>
      <c r="E4" s="95"/>
      <c r="F4" s="95"/>
      <c r="G4" s="95"/>
      <c r="H4" s="96"/>
      <c r="I4" s="1"/>
    </row>
    <row r="5" spans="1:9" x14ac:dyDescent="0.25">
      <c r="A5" s="1"/>
      <c r="B5" s="103" t="s">
        <v>45</v>
      </c>
      <c r="C5" s="104"/>
      <c r="D5" s="104"/>
      <c r="E5" s="104"/>
      <c r="F5" s="105"/>
      <c r="G5" s="24">
        <v>36189667</v>
      </c>
      <c r="H5" s="14" t="s">
        <v>3</v>
      </c>
      <c r="I5" s="1"/>
    </row>
    <row r="6" spans="1:9" x14ac:dyDescent="0.25">
      <c r="A6" s="1"/>
      <c r="B6" s="97" t="s">
        <v>145</v>
      </c>
      <c r="C6" s="98"/>
      <c r="D6" s="98"/>
      <c r="E6" s="98"/>
      <c r="F6" s="99"/>
      <c r="G6" s="9">
        <v>0</v>
      </c>
      <c r="H6" s="14" t="s">
        <v>3</v>
      </c>
      <c r="I6" s="1"/>
    </row>
    <row r="7" spans="1:9" x14ac:dyDescent="0.25">
      <c r="A7" s="1"/>
      <c r="B7" s="103" t="s">
        <v>46</v>
      </c>
      <c r="C7" s="104"/>
      <c r="D7" s="104"/>
      <c r="E7" s="104"/>
      <c r="F7" s="105"/>
      <c r="G7" s="24">
        <f>SUM(G5:G6)*'Fane 14. Nøgletal'!C29</f>
        <v>723793.34</v>
      </c>
      <c r="H7" s="14" t="s">
        <v>3</v>
      </c>
      <c r="I7" s="1"/>
    </row>
    <row r="8" spans="1:9" x14ac:dyDescent="0.25">
      <c r="A8" s="1"/>
      <c r="B8" s="38"/>
      <c r="C8" s="32"/>
      <c r="D8" s="32"/>
      <c r="E8" s="32"/>
      <c r="F8" s="32"/>
      <c r="G8" s="32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4" t="s">
        <v>57</v>
      </c>
      <c r="C10" s="95"/>
      <c r="D10" s="95"/>
      <c r="E10" s="95"/>
      <c r="F10" s="95"/>
      <c r="G10" s="95"/>
      <c r="H10" s="96"/>
      <c r="I10" s="1"/>
    </row>
    <row r="11" spans="1:9" x14ac:dyDescent="0.25">
      <c r="A11" s="1"/>
      <c r="B11" s="103" t="s">
        <v>47</v>
      </c>
      <c r="C11" s="104"/>
      <c r="D11" s="104"/>
      <c r="E11" s="104"/>
      <c r="F11" s="105"/>
      <c r="G11" s="24">
        <f>(G5-G7)*(1+'Fane 14. Nøgletal'!C10)</f>
        <v>36086526.449050002</v>
      </c>
      <c r="H11" s="14" t="s">
        <v>3</v>
      </c>
      <c r="I11" s="1"/>
    </row>
    <row r="12" spans="1:9" ht="15" customHeight="1" x14ac:dyDescent="0.25">
      <c r="A12" s="1"/>
      <c r="B12" s="103" t="s">
        <v>146</v>
      </c>
      <c r="C12" s="104"/>
      <c r="D12" s="104"/>
      <c r="E12" s="104"/>
      <c r="F12" s="105"/>
      <c r="G12" s="9">
        <v>-0.30927053183317188</v>
      </c>
      <c r="H12" s="14" t="s">
        <v>3</v>
      </c>
      <c r="I12" s="1"/>
    </row>
    <row r="13" spans="1:9" x14ac:dyDescent="0.25">
      <c r="A13" s="1"/>
      <c r="B13" s="97" t="s">
        <v>143</v>
      </c>
      <c r="C13" s="98"/>
      <c r="D13" s="98"/>
      <c r="E13" s="98"/>
      <c r="F13" s="99"/>
      <c r="G13" s="9">
        <v>0</v>
      </c>
      <c r="H13" s="14" t="s">
        <v>3</v>
      </c>
      <c r="I13" s="1"/>
    </row>
    <row r="14" spans="1:9" x14ac:dyDescent="0.25">
      <c r="A14" s="1"/>
      <c r="B14" s="106" t="s">
        <v>48</v>
      </c>
      <c r="C14" s="107"/>
      <c r="D14" s="107"/>
      <c r="E14" s="107"/>
      <c r="F14" s="108"/>
      <c r="G14" s="9">
        <v>0</v>
      </c>
      <c r="H14" s="14" t="s">
        <v>3</v>
      </c>
      <c r="I14" s="1"/>
    </row>
    <row r="15" spans="1:9" x14ac:dyDescent="0.25">
      <c r="A15" s="1"/>
      <c r="B15" s="103" t="s">
        <v>49</v>
      </c>
      <c r="C15" s="104"/>
      <c r="D15" s="104"/>
      <c r="E15" s="104"/>
      <c r="F15" s="105"/>
      <c r="G15" s="24">
        <f>SUM(G11:G14)*'Fane 14. Nøgletal'!C29</f>
        <v>721730.52279558941</v>
      </c>
      <c r="H15" s="14" t="s">
        <v>3</v>
      </c>
      <c r="I15" s="1"/>
    </row>
    <row r="16" spans="1:9" x14ac:dyDescent="0.25">
      <c r="A16" s="1"/>
      <c r="B16" s="38"/>
      <c r="C16" s="32"/>
      <c r="D16" s="32"/>
      <c r="E16" s="32"/>
      <c r="F16" s="32"/>
      <c r="G16" s="32"/>
      <c r="H16" s="20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94" t="s">
        <v>58</v>
      </c>
      <c r="C18" s="95"/>
      <c r="D18" s="95"/>
      <c r="E18" s="95"/>
      <c r="F18" s="95"/>
      <c r="G18" s="95"/>
      <c r="H18" s="96"/>
      <c r="I18" s="1"/>
    </row>
    <row r="19" spans="1:9" x14ac:dyDescent="0.25">
      <c r="A19" s="1"/>
      <c r="B19" s="103" t="s">
        <v>50</v>
      </c>
      <c r="C19" s="104"/>
      <c r="D19" s="104"/>
      <c r="E19" s="104"/>
      <c r="F19" s="105"/>
      <c r="G19" s="24">
        <f>(SUM(G11:G12,G14)-(G15))*(1+'Fane 14. Nøgletal'!C10)</f>
        <v>35983679.540281102</v>
      </c>
      <c r="H19" s="14" t="s">
        <v>3</v>
      </c>
      <c r="I19" s="1"/>
    </row>
    <row r="20" spans="1:9" x14ac:dyDescent="0.25">
      <c r="A20" s="1"/>
      <c r="B20" s="106" t="s">
        <v>51</v>
      </c>
      <c r="C20" s="107"/>
      <c r="D20" s="107"/>
      <c r="E20" s="107"/>
      <c r="F20" s="108"/>
      <c r="G20" s="9">
        <v>0</v>
      </c>
      <c r="H20" s="14" t="s">
        <v>3</v>
      </c>
      <c r="I20" s="1"/>
    </row>
    <row r="21" spans="1:9" x14ac:dyDescent="0.25">
      <c r="A21" s="1"/>
      <c r="B21" s="103" t="s">
        <v>52</v>
      </c>
      <c r="C21" s="104"/>
      <c r="D21" s="104"/>
      <c r="E21" s="104"/>
      <c r="F21" s="105"/>
      <c r="G21" s="24">
        <f>SUM(G19:G20)*'Fane 14. Nøgletal'!C29</f>
        <v>719673.59080562205</v>
      </c>
      <c r="H21" s="14" t="s">
        <v>3</v>
      </c>
      <c r="I21" s="1"/>
    </row>
    <row r="22" spans="1:9" x14ac:dyDescent="0.25">
      <c r="A22" s="1"/>
      <c r="B22" s="38"/>
      <c r="C22" s="32"/>
      <c r="D22" s="32"/>
      <c r="E22" s="32"/>
      <c r="F22" s="32"/>
      <c r="G22" s="32"/>
      <c r="H22" s="20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4" t="s">
        <v>59</v>
      </c>
      <c r="C24" s="95"/>
      <c r="D24" s="95"/>
      <c r="E24" s="95"/>
      <c r="F24" s="95"/>
      <c r="G24" s="95"/>
      <c r="H24" s="96"/>
      <c r="I24" s="1"/>
    </row>
    <row r="25" spans="1:9" x14ac:dyDescent="0.25">
      <c r="A25" s="1"/>
      <c r="B25" s="103" t="s">
        <v>53</v>
      </c>
      <c r="C25" s="104"/>
      <c r="D25" s="104"/>
      <c r="E25" s="104"/>
      <c r="F25" s="105"/>
      <c r="G25" s="24">
        <f>(G19+G20-G21)*(1+'Fane 14. Nøgletal'!C12)</f>
        <v>35958706.866680153</v>
      </c>
      <c r="H25" s="14" t="s">
        <v>3</v>
      </c>
      <c r="I25" s="1"/>
    </row>
    <row r="26" spans="1:9" x14ac:dyDescent="0.25">
      <c r="A26" s="1"/>
      <c r="B26" s="106" t="s">
        <v>54</v>
      </c>
      <c r="C26" s="107"/>
      <c r="D26" s="107"/>
      <c r="E26" s="107"/>
      <c r="F26" s="108"/>
      <c r="G26" s="9">
        <v>0</v>
      </c>
      <c r="H26" s="14" t="s">
        <v>3</v>
      </c>
      <c r="I26" s="1"/>
    </row>
    <row r="27" spans="1:9" x14ac:dyDescent="0.25">
      <c r="A27" s="1"/>
      <c r="B27" s="103" t="s">
        <v>55</v>
      </c>
      <c r="C27" s="104"/>
      <c r="D27" s="104"/>
      <c r="E27" s="104"/>
      <c r="F27" s="105"/>
      <c r="G27" s="24">
        <f>(G25+G26)*'Fane 14. Nøgletal'!C29</f>
        <v>719174.13733360311</v>
      </c>
      <c r="H27" s="14" t="s">
        <v>3</v>
      </c>
      <c r="I27" s="1"/>
    </row>
    <row r="28" spans="1:9" x14ac:dyDescent="0.25">
      <c r="A28" s="1"/>
      <c r="B28" s="38"/>
      <c r="C28" s="32"/>
      <c r="D28" s="32"/>
      <c r="E28" s="32"/>
      <c r="F28" s="32"/>
      <c r="G28" s="32"/>
      <c r="H28" s="20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94" t="s">
        <v>62</v>
      </c>
      <c r="C30" s="95"/>
      <c r="D30" s="95"/>
      <c r="E30" s="95"/>
      <c r="F30" s="95"/>
      <c r="G30" s="95"/>
      <c r="H30" s="96"/>
      <c r="I30" s="1"/>
    </row>
    <row r="31" spans="1:9" x14ac:dyDescent="0.25">
      <c r="A31" s="1"/>
      <c r="B31" s="103" t="s">
        <v>63</v>
      </c>
      <c r="C31" s="104"/>
      <c r="D31" s="104"/>
      <c r="E31" s="104"/>
      <c r="F31" s="105"/>
      <c r="G31" s="24">
        <f>(G25+G26-G27)*(1+'Fane 14. Nøgletal'!C12)</f>
        <v>35933751.524114683</v>
      </c>
      <c r="H31" s="14" t="s">
        <v>3</v>
      </c>
      <c r="I31" s="1"/>
    </row>
    <row r="32" spans="1:9" x14ac:dyDescent="0.25">
      <c r="A32" s="1"/>
      <c r="B32" s="103" t="s">
        <v>171</v>
      </c>
      <c r="C32" s="104"/>
      <c r="D32" s="104"/>
      <c r="E32" s="104"/>
      <c r="F32" s="105"/>
      <c r="G32" s="24">
        <v>729532.05061967997</v>
      </c>
      <c r="H32" s="14" t="s">
        <v>3</v>
      </c>
      <c r="I32" s="1"/>
    </row>
    <row r="33" spans="1:9" x14ac:dyDescent="0.25">
      <c r="A33" s="1"/>
      <c r="B33" s="103" t="s">
        <v>64</v>
      </c>
      <c r="C33" s="104"/>
      <c r="D33" s="104"/>
      <c r="E33" s="104"/>
      <c r="F33" s="105"/>
      <c r="G33" s="24">
        <f>(G31+G32)*'Fane 14. Nøgletal'!C29</f>
        <v>733265.67149468721</v>
      </c>
      <c r="H33" s="14" t="s">
        <v>3</v>
      </c>
      <c r="I33" s="1"/>
    </row>
    <row r="34" spans="1:9" x14ac:dyDescent="0.25">
      <c r="A34" s="1"/>
      <c r="B34" s="38"/>
      <c r="C34" s="32"/>
      <c r="D34" s="32"/>
      <c r="E34" s="32"/>
      <c r="F34" s="32"/>
      <c r="G34" s="32"/>
      <c r="H34" s="20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94" t="s">
        <v>232</v>
      </c>
      <c r="C36" s="95"/>
      <c r="D36" s="95"/>
      <c r="E36" s="95"/>
      <c r="F36" s="95"/>
      <c r="G36" s="95"/>
      <c r="H36" s="96"/>
      <c r="I36" s="1"/>
    </row>
    <row r="37" spans="1:9" x14ac:dyDescent="0.25">
      <c r="A37" s="1"/>
      <c r="B37" s="103" t="s">
        <v>84</v>
      </c>
      <c r="C37" s="104"/>
      <c r="D37" s="104"/>
      <c r="E37" s="104"/>
      <c r="F37" s="105"/>
      <c r="G37" s="24">
        <f>(G31+G32-G33)*(1+'Fane 14. Nøgletal'!C14)</f>
        <v>36048586.962320365</v>
      </c>
      <c r="H37" s="14" t="s">
        <v>3</v>
      </c>
      <c r="I37" s="1"/>
    </row>
    <row r="38" spans="1:9" x14ac:dyDescent="0.25">
      <c r="A38" s="1"/>
      <c r="B38" s="103" t="s">
        <v>236</v>
      </c>
      <c r="C38" s="104"/>
      <c r="D38" s="104"/>
      <c r="E38" s="104"/>
      <c r="F38" s="105"/>
      <c r="G38" s="24">
        <f>SUM('Fane 2.1. Økonomisk ramme 2022'!C10,'Fane 2.1. Økonomisk ramme 2022'!C12,'Fane 2.1. Økonomisk ramme 2022'!C14)*(1+'Fane 14. Nøgletal'!C14)</f>
        <v>1020580.6359314201</v>
      </c>
      <c r="H38" s="14" t="s">
        <v>3</v>
      </c>
      <c r="I38" s="1"/>
    </row>
    <row r="39" spans="1:9" x14ac:dyDescent="0.25">
      <c r="A39" s="1"/>
      <c r="B39" s="103" t="s">
        <v>234</v>
      </c>
      <c r="C39" s="104"/>
      <c r="D39" s="104"/>
      <c r="E39" s="104"/>
      <c r="F39" s="105"/>
      <c r="G39" s="24">
        <f>(G37+G38)*'Fane 14. Nøgletal'!C29</f>
        <v>741383.35196503566</v>
      </c>
      <c r="H39" s="14" t="s">
        <v>3</v>
      </c>
      <c r="I39" s="1"/>
    </row>
    <row r="40" spans="1:9" x14ac:dyDescent="0.25">
      <c r="A40" s="1"/>
      <c r="B40" s="38"/>
      <c r="C40" s="32"/>
      <c r="D40" s="32"/>
      <c r="E40" s="32"/>
      <c r="F40" s="32"/>
      <c r="G40" s="32"/>
      <c r="H40" s="20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94" t="s">
        <v>233</v>
      </c>
      <c r="C42" s="95"/>
      <c r="D42" s="95"/>
      <c r="E42" s="95"/>
      <c r="F42" s="95"/>
      <c r="G42" s="95"/>
      <c r="H42" s="96"/>
      <c r="I42" s="1"/>
    </row>
    <row r="43" spans="1:9" x14ac:dyDescent="0.25">
      <c r="A43" s="1"/>
      <c r="B43" s="103" t="s">
        <v>83</v>
      </c>
      <c r="C43" s="104"/>
      <c r="D43" s="104"/>
      <c r="E43" s="104"/>
      <c r="F43" s="105"/>
      <c r="G43" s="24">
        <f>(G37+G38-G39)*(1+'Fane 14. Nøgletal'!C14)</f>
        <v>36447665.934299499</v>
      </c>
      <c r="H43" s="14" t="s">
        <v>3</v>
      </c>
      <c r="I43" s="1"/>
    </row>
    <row r="44" spans="1:9" x14ac:dyDescent="0.25">
      <c r="A44" s="1"/>
      <c r="B44" s="109" t="s">
        <v>237</v>
      </c>
      <c r="C44" s="110"/>
      <c r="D44" s="110"/>
      <c r="E44" s="110"/>
      <c r="F44" s="111"/>
      <c r="G44" s="24">
        <f>G38*(1+'Fane 14. Nøgletal'!C14)</f>
        <v>1023948.5520299939</v>
      </c>
      <c r="H44" s="14" t="s">
        <v>3</v>
      </c>
      <c r="I44" s="1"/>
    </row>
    <row r="45" spans="1:9" x14ac:dyDescent="0.25">
      <c r="A45" s="1"/>
      <c r="B45" s="103" t="s">
        <v>97</v>
      </c>
      <c r="C45" s="104"/>
      <c r="D45" s="104"/>
      <c r="E45" s="104"/>
      <c r="F45" s="105"/>
      <c r="G45" s="9">
        <f>-'Fane 13. Bortfald'!C18*(1+'Fane 14. Nøgletal'!C14)</f>
        <v>0</v>
      </c>
      <c r="H45" s="14" t="s">
        <v>3</v>
      </c>
      <c r="I45" s="1"/>
    </row>
    <row r="46" spans="1:9" x14ac:dyDescent="0.25">
      <c r="A46" s="1"/>
      <c r="B46" s="103" t="s">
        <v>235</v>
      </c>
      <c r="C46" s="104"/>
      <c r="D46" s="104"/>
      <c r="E46" s="104"/>
      <c r="F46" s="105"/>
      <c r="G46" s="24">
        <f>(G43+G45)*'Fane 14. Nøgletal'!C29</f>
        <v>728953.31868598994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94" t="s">
        <v>172</v>
      </c>
      <c r="C51" s="95"/>
      <c r="D51" s="95"/>
      <c r="E51" s="95"/>
      <c r="F51" s="95"/>
      <c r="G51" s="95"/>
      <c r="H51" s="96"/>
      <c r="I51" s="1"/>
    </row>
    <row r="52" spans="1:9" x14ac:dyDescent="0.25">
      <c r="A52" s="1"/>
      <c r="B52" s="103" t="s">
        <v>173</v>
      </c>
      <c r="C52" s="104"/>
      <c r="D52" s="104"/>
      <c r="E52" s="104"/>
      <c r="F52" s="105"/>
      <c r="G52" s="24">
        <f>(G43+G45-G46)*(1+'Fane 14. Nøgletal'!C14)</f>
        <v>35836584.367245033</v>
      </c>
      <c r="H52" s="14" t="s">
        <v>3</v>
      </c>
      <c r="I52" s="1"/>
    </row>
    <row r="53" spans="1:9" x14ac:dyDescent="0.25">
      <c r="A53" s="1"/>
      <c r="B53" s="103" t="s">
        <v>174</v>
      </c>
      <c r="C53" s="104"/>
      <c r="D53" s="104"/>
      <c r="E53" s="104"/>
      <c r="F53" s="105"/>
      <c r="G53" s="9">
        <f>-'Fane 13. Bortfald'!C24*(1+'Fane 14. Nøgletal'!C14)</f>
        <v>0</v>
      </c>
      <c r="H53" s="14" t="s">
        <v>3</v>
      </c>
      <c r="I53" s="1"/>
    </row>
    <row r="54" spans="1:9" x14ac:dyDescent="0.25">
      <c r="A54" s="1"/>
      <c r="B54" s="103" t="s">
        <v>175</v>
      </c>
      <c r="C54" s="104"/>
      <c r="D54" s="104"/>
      <c r="E54" s="104"/>
      <c r="F54" s="105"/>
      <c r="G54" s="24">
        <f>(G52+G53)*'Fane 14. Nøgletal'!C29</f>
        <v>716731.68734490068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94" t="s">
        <v>201</v>
      </c>
      <c r="C57" s="95"/>
      <c r="D57" s="95"/>
      <c r="E57" s="95"/>
      <c r="F57" s="95"/>
      <c r="G57" s="95"/>
      <c r="H57" s="96"/>
      <c r="I57" s="1"/>
    </row>
    <row r="58" spans="1:9" x14ac:dyDescent="0.25">
      <c r="A58" s="1"/>
      <c r="B58" s="61" t="s">
        <v>202</v>
      </c>
      <c r="C58" s="62"/>
      <c r="D58" s="62"/>
      <c r="E58" s="62"/>
      <c r="F58" s="63"/>
      <c r="G58" s="24">
        <f>(G52+G53-G54)*(1+'Fane 14. Nøgletal'!C14)</f>
        <v>35235748.193743803</v>
      </c>
      <c r="H58" s="14" t="s">
        <v>3</v>
      </c>
      <c r="I58" s="1"/>
    </row>
    <row r="59" spans="1:9" x14ac:dyDescent="0.25">
      <c r="A59" s="1"/>
      <c r="B59" s="61" t="s">
        <v>203</v>
      </c>
      <c r="C59" s="62"/>
      <c r="D59" s="62"/>
      <c r="E59" s="62"/>
      <c r="F59" s="63"/>
      <c r="G59" s="9">
        <f>-'Fane 13. Bortfald'!C30*(1+'Fane 14. Nøgletal'!C14)</f>
        <v>0</v>
      </c>
      <c r="H59" s="14" t="s">
        <v>3</v>
      </c>
      <c r="I59" s="1"/>
    </row>
    <row r="60" spans="1:9" x14ac:dyDescent="0.25">
      <c r="A60" s="1"/>
      <c r="B60" s="61" t="s">
        <v>204</v>
      </c>
      <c r="C60" s="62"/>
      <c r="D60" s="62"/>
      <c r="E60" s="62"/>
      <c r="F60" s="63"/>
      <c r="G60" s="24">
        <f>(G58+G59)*'Fane 14. Nøgletal'!C29</f>
        <v>704714.96387487603</v>
      </c>
      <c r="H60" s="14" t="s">
        <v>3</v>
      </c>
      <c r="I60" s="1"/>
    </row>
    <row r="61" spans="1:9" x14ac:dyDescent="0.25">
      <c r="A61" s="1"/>
      <c r="B61" s="38"/>
      <c r="C61" s="32"/>
      <c r="D61" s="32"/>
      <c r="E61" s="32"/>
      <c r="F61" s="32"/>
      <c r="G61" s="32"/>
      <c r="H61" s="20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ecMcc1E7Z6HCrdkr3AwU1ELaoFnJTDUjCTUyJCjiPi1QKJ7KRSgkUQTuqq5LXxI9wMB7j3I6CRGeUltGM8aP7A==" saltValue="aruQaY6H7klsMbw+Pm/gWQ==" spinCount="100000" sheet="1" objects="1" scenarios="1"/>
  <mergeCells count="37">
    <mergeCell ref="B57:H57"/>
    <mergeCell ref="B51:H51"/>
    <mergeCell ref="B52:F52"/>
    <mergeCell ref="B53:F53"/>
    <mergeCell ref="B32:F32"/>
    <mergeCell ref="B33:F33"/>
    <mergeCell ref="B42:H42"/>
    <mergeCell ref="B43:F43"/>
    <mergeCell ref="B46:F46"/>
    <mergeCell ref="B38:F38"/>
    <mergeCell ref="B45:F45"/>
    <mergeCell ref="B39:F39"/>
    <mergeCell ref="B44:F44"/>
    <mergeCell ref="B54:F54"/>
    <mergeCell ref="B37:F37"/>
    <mergeCell ref="B30:H30"/>
    <mergeCell ref="B31:F31"/>
    <mergeCell ref="B36:H36"/>
    <mergeCell ref="B18:H18"/>
    <mergeCell ref="B14:F14"/>
    <mergeCell ref="B15:F15"/>
    <mergeCell ref="B19:F19"/>
    <mergeCell ref="B20:F20"/>
    <mergeCell ref="B21:F21"/>
    <mergeCell ref="B25:F25"/>
    <mergeCell ref="B26:F26"/>
    <mergeCell ref="B27:F27"/>
    <mergeCell ref="B11:F11"/>
    <mergeCell ref="B10:H10"/>
    <mergeCell ref="B6:F6"/>
    <mergeCell ref="B2:H3"/>
    <mergeCell ref="B24:H24"/>
    <mergeCell ref="B4:H4"/>
    <mergeCell ref="B5:F5"/>
    <mergeCell ref="B7:F7"/>
    <mergeCell ref="B12:F12"/>
    <mergeCell ref="B13:F1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112" t="s">
        <v>131</v>
      </c>
      <c r="C1" s="112"/>
      <c r="D1" s="112"/>
      <c r="E1" s="112"/>
      <c r="F1" s="112"/>
      <c r="G1" s="112"/>
      <c r="H1" s="112"/>
      <c r="I1" s="1"/>
    </row>
    <row r="2" spans="1:9" ht="15" customHeight="1" x14ac:dyDescent="0.25">
      <c r="A2" s="1"/>
      <c r="B2" s="112"/>
      <c r="C2" s="112"/>
      <c r="D2" s="112"/>
      <c r="E2" s="112"/>
      <c r="F2" s="112"/>
      <c r="G2" s="112"/>
      <c r="H2" s="112"/>
      <c r="I2" s="1"/>
    </row>
    <row r="3" spans="1:9" ht="15" customHeight="1" x14ac:dyDescent="0.25">
      <c r="A3" s="1"/>
      <c r="B3" s="113"/>
      <c r="C3" s="113"/>
      <c r="D3" s="113"/>
      <c r="E3" s="113"/>
      <c r="F3" s="113"/>
      <c r="G3" s="113"/>
      <c r="H3" s="113"/>
      <c r="I3" s="1"/>
    </row>
    <row r="4" spans="1:9" x14ac:dyDescent="0.25">
      <c r="A4" s="1"/>
      <c r="B4" s="94" t="s">
        <v>60</v>
      </c>
      <c r="C4" s="95"/>
      <c r="D4" s="95"/>
      <c r="E4" s="95"/>
      <c r="F4" s="95"/>
      <c r="G4" s="95"/>
      <c r="H4" s="96"/>
      <c r="I4" s="1"/>
    </row>
    <row r="5" spans="1:9" x14ac:dyDescent="0.25">
      <c r="A5" s="1"/>
      <c r="B5" s="103" t="s">
        <v>65</v>
      </c>
      <c r="C5" s="104"/>
      <c r="D5" s="104"/>
      <c r="E5" s="104"/>
      <c r="F5" s="105"/>
      <c r="G5" s="24">
        <v>93088743</v>
      </c>
      <c r="H5" s="14" t="s">
        <v>3</v>
      </c>
      <c r="I5" s="1"/>
    </row>
    <row r="6" spans="1:9" x14ac:dyDescent="0.25">
      <c r="A6" s="1"/>
      <c r="B6" s="103" t="s">
        <v>61</v>
      </c>
      <c r="C6" s="104"/>
      <c r="D6" s="104"/>
      <c r="E6" s="104"/>
      <c r="F6" s="105"/>
      <c r="G6" s="24">
        <f>G5*'Fane 14. Nøgletal'!C19</f>
        <v>847107.56130000006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4" t="s">
        <v>66</v>
      </c>
      <c r="C9" s="95"/>
      <c r="D9" s="95"/>
      <c r="E9" s="95"/>
      <c r="F9" s="95"/>
      <c r="G9" s="95"/>
      <c r="H9" s="96"/>
      <c r="I9" s="1"/>
    </row>
    <row r="10" spans="1:9" x14ac:dyDescent="0.25">
      <c r="A10" s="1"/>
      <c r="B10" s="103" t="s">
        <v>67</v>
      </c>
      <c r="C10" s="104"/>
      <c r="D10" s="104"/>
      <c r="E10" s="104"/>
      <c r="F10" s="105"/>
      <c r="G10" s="24">
        <f>(G5-G6)*(1+'Fane 14. Nøgletal'!C10)</f>
        <v>93855864.058877259</v>
      </c>
      <c r="H10" s="14" t="s">
        <v>3</v>
      </c>
      <c r="I10" s="1"/>
    </row>
    <row r="11" spans="1:9" x14ac:dyDescent="0.25">
      <c r="A11" s="1"/>
      <c r="B11" s="103" t="s">
        <v>147</v>
      </c>
      <c r="C11" s="104"/>
      <c r="D11" s="104"/>
      <c r="E11" s="104"/>
      <c r="F11" s="105"/>
      <c r="G11" s="24">
        <v>632149.08404445858</v>
      </c>
      <c r="H11" s="14" t="s">
        <v>3</v>
      </c>
      <c r="I11" s="1"/>
    </row>
    <row r="12" spans="1:9" x14ac:dyDescent="0.25">
      <c r="A12" s="1"/>
      <c r="B12" s="106" t="s">
        <v>68</v>
      </c>
      <c r="C12" s="107"/>
      <c r="D12" s="107"/>
      <c r="E12" s="107"/>
      <c r="F12" s="108"/>
      <c r="G12" s="9">
        <v>0</v>
      </c>
      <c r="H12" s="14" t="s">
        <v>3</v>
      </c>
      <c r="I12" s="1"/>
    </row>
    <row r="13" spans="1:9" x14ac:dyDescent="0.25">
      <c r="A13" s="1"/>
      <c r="B13" s="103" t="s">
        <v>69</v>
      </c>
      <c r="C13" s="104"/>
      <c r="D13" s="104"/>
      <c r="E13" s="104"/>
      <c r="F13" s="105"/>
      <c r="G13" s="24">
        <f>SUM(G10:G12)*'Fane 14. Nøgletal'!C20</f>
        <v>1672437.8326297144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4" t="s">
        <v>70</v>
      </c>
      <c r="C16" s="95"/>
      <c r="D16" s="95"/>
      <c r="E16" s="95"/>
      <c r="F16" s="95"/>
      <c r="G16" s="95"/>
      <c r="H16" s="96"/>
      <c r="I16" s="1"/>
    </row>
    <row r="17" spans="1:9" x14ac:dyDescent="0.25">
      <c r="A17" s="1"/>
      <c r="B17" s="103" t="s">
        <v>71</v>
      </c>
      <c r="C17" s="104"/>
      <c r="D17" s="104"/>
      <c r="E17" s="104"/>
      <c r="F17" s="105"/>
      <c r="G17" s="24">
        <f>(SUM(G10:G12)-G13)*(1+'Fane 14. Nøgletal'!C10)</f>
        <v>94439847.878222123</v>
      </c>
      <c r="H17" s="14" t="s">
        <v>3</v>
      </c>
      <c r="I17" s="1"/>
    </row>
    <row r="18" spans="1:9" x14ac:dyDescent="0.25">
      <c r="A18" s="1"/>
      <c r="B18" s="106" t="s">
        <v>72</v>
      </c>
      <c r="C18" s="107"/>
      <c r="D18" s="107"/>
      <c r="E18" s="107"/>
      <c r="F18" s="108"/>
      <c r="G18" s="24">
        <v>479113.57891080988</v>
      </c>
      <c r="H18" s="14" t="s">
        <v>3</v>
      </c>
      <c r="I18" s="1"/>
    </row>
    <row r="19" spans="1:9" x14ac:dyDescent="0.25">
      <c r="A19" s="1"/>
      <c r="B19" s="103" t="s">
        <v>73</v>
      </c>
      <c r="C19" s="104"/>
      <c r="D19" s="104"/>
      <c r="E19" s="104"/>
      <c r="F19" s="105"/>
      <c r="G19" s="24">
        <f>G17*'Fane 14. Nøgletal'!C20+G18*'Fane 14. Nøgletal'!C21</f>
        <v>1675753.5955810559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4" t="s">
        <v>74</v>
      </c>
      <c r="C22" s="95"/>
      <c r="D22" s="95"/>
      <c r="E22" s="95"/>
      <c r="F22" s="95"/>
      <c r="G22" s="95"/>
      <c r="H22" s="96"/>
      <c r="I22" s="1"/>
    </row>
    <row r="23" spans="1:9" x14ac:dyDescent="0.25">
      <c r="A23" s="1"/>
      <c r="B23" s="103" t="s">
        <v>75</v>
      </c>
      <c r="C23" s="104"/>
      <c r="D23" s="104"/>
      <c r="E23" s="104"/>
      <c r="F23" s="105"/>
      <c r="G23" s="24">
        <f>(G17+G18-G19)*(1+'Fane 14. Nøgletal'!C12)</f>
        <v>95080099.056424454</v>
      </c>
      <c r="H23" s="14" t="s">
        <v>3</v>
      </c>
      <c r="I23" s="1"/>
    </row>
    <row r="24" spans="1:9" x14ac:dyDescent="0.25">
      <c r="A24" s="1"/>
      <c r="B24" s="106" t="s">
        <v>76</v>
      </c>
      <c r="C24" s="107"/>
      <c r="D24" s="107"/>
      <c r="E24" s="107"/>
      <c r="F24" s="108"/>
      <c r="G24" s="24">
        <v>275658.22053990001</v>
      </c>
      <c r="H24" s="14" t="s">
        <v>3</v>
      </c>
      <c r="I24" s="1"/>
    </row>
    <row r="25" spans="1:9" x14ac:dyDescent="0.25">
      <c r="A25" s="1"/>
      <c r="B25" s="103" t="s">
        <v>77</v>
      </c>
      <c r="C25" s="104"/>
      <c r="D25" s="104"/>
      <c r="E25" s="104"/>
      <c r="F25" s="105"/>
      <c r="G25" s="24">
        <f>(G23+G24)*'Fane 14. Nøgletal'!C22</f>
        <v>2708103.5066657877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4" t="s">
        <v>78</v>
      </c>
      <c r="C28" s="95"/>
      <c r="D28" s="95"/>
      <c r="E28" s="95"/>
      <c r="F28" s="95"/>
      <c r="G28" s="95"/>
      <c r="H28" s="96"/>
      <c r="I28" s="1"/>
    </row>
    <row r="29" spans="1:9" x14ac:dyDescent="0.25">
      <c r="A29" s="1"/>
      <c r="B29" s="103" t="s">
        <v>79</v>
      </c>
      <c r="C29" s="104"/>
      <c r="D29" s="104"/>
      <c r="E29" s="104"/>
      <c r="F29" s="105"/>
      <c r="G29" s="24">
        <f>(G23+G24-G25)*(1+'Fane 14. Nøgletal'!C12)</f>
        <v>94472812.549573451</v>
      </c>
      <c r="H29" s="14" t="s">
        <v>3</v>
      </c>
      <c r="I29" s="1"/>
    </row>
    <row r="30" spans="1:9" x14ac:dyDescent="0.25">
      <c r="A30" s="1"/>
      <c r="B30" s="103" t="s">
        <v>176</v>
      </c>
      <c r="C30" s="104"/>
      <c r="D30" s="104"/>
      <c r="E30" s="104"/>
      <c r="F30" s="105"/>
      <c r="G30" s="24">
        <v>4439700.0284464797</v>
      </c>
      <c r="H30" s="14" t="s">
        <v>3</v>
      </c>
      <c r="I30" s="1"/>
    </row>
    <row r="31" spans="1:9" x14ac:dyDescent="0.25">
      <c r="A31" s="1"/>
      <c r="B31" s="103" t="s">
        <v>80</v>
      </c>
      <c r="C31" s="104"/>
      <c r="D31" s="104"/>
      <c r="E31" s="104"/>
      <c r="F31" s="105"/>
      <c r="G31" s="24">
        <f>G29*'Fane 14. Nøgletal'!C22+G30*'Fane 14. Nøgletal'!C23</f>
        <v>2805119.6271901648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4" t="s">
        <v>238</v>
      </c>
      <c r="C34" s="95"/>
      <c r="D34" s="95"/>
      <c r="E34" s="95"/>
      <c r="F34" s="95"/>
      <c r="G34" s="95"/>
      <c r="H34" s="96"/>
      <c r="I34" s="1"/>
    </row>
    <row r="35" spans="1:9" x14ac:dyDescent="0.25">
      <c r="A35" s="1"/>
      <c r="B35" s="103" t="s">
        <v>82</v>
      </c>
      <c r="C35" s="104"/>
      <c r="D35" s="104"/>
      <c r="E35" s="104"/>
      <c r="F35" s="105"/>
      <c r="G35" s="24">
        <f>(G29+G30-G31)*(1+'Fane 14. Nøgletal'!C14)</f>
        <v>96424547.347567514</v>
      </c>
      <c r="H35" s="14" t="s">
        <v>3</v>
      </c>
      <c r="I35" s="1"/>
    </row>
    <row r="36" spans="1:9" x14ac:dyDescent="0.25">
      <c r="A36" s="1"/>
      <c r="B36" s="103" t="s">
        <v>240</v>
      </c>
      <c r="C36" s="104"/>
      <c r="D36" s="104"/>
      <c r="E36" s="104"/>
      <c r="F36" s="105"/>
      <c r="G36" s="24">
        <f>SUM('Fane 2.1. Økonomisk ramme 2022'!C11,'Fane 2.1. Økonomisk ramme 2022'!C13,'Fane 2.1. Økonomisk ramme 2022'!C15)*(1+'Fane 14. Nøgletal'!C14)</f>
        <v>3979195.2580451807</v>
      </c>
      <c r="H36" s="14" t="s">
        <v>3</v>
      </c>
      <c r="I36" s="1"/>
    </row>
    <row r="37" spans="1:9" x14ac:dyDescent="0.25">
      <c r="A37" s="1"/>
      <c r="B37" s="103" t="s">
        <v>239</v>
      </c>
      <c r="C37" s="104"/>
      <c r="D37" s="104"/>
      <c r="E37" s="104"/>
      <c r="F37" s="105"/>
      <c r="G37" s="24">
        <f>(G35+G36)*'Fane 14. Nøgletal'!C24</f>
        <v>1485975.390563068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4" t="s">
        <v>85</v>
      </c>
      <c r="C40" s="95"/>
      <c r="D40" s="95"/>
      <c r="E40" s="95"/>
      <c r="F40" s="95"/>
      <c r="G40" s="95"/>
      <c r="H40" s="96"/>
      <c r="I40" s="1"/>
    </row>
    <row r="41" spans="1:9" x14ac:dyDescent="0.25">
      <c r="A41" s="1"/>
      <c r="B41" s="103" t="s">
        <v>81</v>
      </c>
      <c r="C41" s="104"/>
      <c r="D41" s="104"/>
      <c r="E41" s="104"/>
      <c r="F41" s="105"/>
      <c r="G41" s="24">
        <f>(G35+G36-G37)*(1+'Fane 14. Nøgletal'!C14)</f>
        <v>99244195.846859291</v>
      </c>
      <c r="H41" s="14" t="s">
        <v>3</v>
      </c>
      <c r="I41" s="1"/>
    </row>
    <row r="42" spans="1:9" x14ac:dyDescent="0.25">
      <c r="A42" s="1"/>
      <c r="B42" s="47" t="s">
        <v>242</v>
      </c>
      <c r="C42" s="62"/>
      <c r="D42" s="62"/>
      <c r="E42" s="62"/>
      <c r="F42" s="63"/>
      <c r="G42" s="24">
        <f>G36*(1+'Fane 14. Nøgletal'!C14)</f>
        <v>3992326.6023967303</v>
      </c>
      <c r="H42" s="14" t="s">
        <v>3</v>
      </c>
      <c r="I42" s="1"/>
    </row>
    <row r="43" spans="1:9" x14ac:dyDescent="0.25">
      <c r="A43" s="1"/>
      <c r="B43" s="103" t="s">
        <v>101</v>
      </c>
      <c r="C43" s="104"/>
      <c r="D43" s="104"/>
      <c r="E43" s="104"/>
      <c r="F43" s="105"/>
      <c r="G43" s="9">
        <f>-'Fane 13. Bortfald'!E18*(1+'Fane 14. Nøgletal'!C14)</f>
        <v>0</v>
      </c>
      <c r="H43" s="14" t="s">
        <v>3</v>
      </c>
      <c r="I43" s="1"/>
    </row>
    <row r="44" spans="1:9" x14ac:dyDescent="0.25">
      <c r="A44" s="1"/>
      <c r="B44" s="103" t="s">
        <v>241</v>
      </c>
      <c r="C44" s="104"/>
      <c r="D44" s="104"/>
      <c r="E44" s="104"/>
      <c r="F44" s="105"/>
      <c r="G44" s="24">
        <f>(G41+G43)*'Fane 14. Nøgletal'!C24</f>
        <v>1468814.0985335177</v>
      </c>
      <c r="H44" s="14" t="s">
        <v>3</v>
      </c>
      <c r="I44" s="1"/>
    </row>
    <row r="45" spans="1:9" x14ac:dyDescent="0.2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4" t="s">
        <v>181</v>
      </c>
      <c r="C52" s="95"/>
      <c r="D52" s="95"/>
      <c r="E52" s="95"/>
      <c r="F52" s="95"/>
      <c r="G52" s="95"/>
      <c r="H52" s="96"/>
      <c r="I52" s="1"/>
    </row>
    <row r="53" spans="1:9" x14ac:dyDescent="0.25">
      <c r="A53" s="1"/>
      <c r="B53" s="103" t="s">
        <v>182</v>
      </c>
      <c r="C53" s="104"/>
      <c r="D53" s="104"/>
      <c r="E53" s="104"/>
      <c r="F53" s="105"/>
      <c r="G53" s="24">
        <f>(G41+G43-G44)*(1+'Fane 14. Nøgletal'!C14)</f>
        <v>98098040.508095264</v>
      </c>
      <c r="H53" s="14" t="s">
        <v>3</v>
      </c>
      <c r="I53" s="1"/>
    </row>
    <row r="54" spans="1:9" x14ac:dyDescent="0.25">
      <c r="A54" s="1"/>
      <c r="B54" s="103" t="s">
        <v>183</v>
      </c>
      <c r="C54" s="104"/>
      <c r="D54" s="104"/>
      <c r="E54" s="104"/>
      <c r="F54" s="105"/>
      <c r="G54" s="9">
        <f>-'Fane 13. Bortfald'!E24*(1+'Fane 14. Nøgletal'!C13)</f>
        <v>0</v>
      </c>
      <c r="H54" s="14" t="s">
        <v>3</v>
      </c>
      <c r="I54" s="1"/>
    </row>
    <row r="55" spans="1:9" x14ac:dyDescent="0.25">
      <c r="A55" s="1"/>
      <c r="B55" s="103" t="s">
        <v>184</v>
      </c>
      <c r="C55" s="104"/>
      <c r="D55" s="104"/>
      <c r="E55" s="104"/>
      <c r="F55" s="105"/>
      <c r="G55" s="24">
        <f>(G53+G54)*'Fane 14. Nøgletal'!C24</f>
        <v>1451850.9995198101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94" t="s">
        <v>205</v>
      </c>
      <c r="C58" s="95"/>
      <c r="D58" s="95"/>
      <c r="E58" s="95"/>
      <c r="F58" s="95"/>
      <c r="G58" s="95"/>
      <c r="H58" s="96"/>
      <c r="I58" s="1"/>
    </row>
    <row r="59" spans="1:9" x14ac:dyDescent="0.25">
      <c r="A59" s="1"/>
      <c r="B59" s="103" t="s">
        <v>255</v>
      </c>
      <c r="C59" s="104"/>
      <c r="D59" s="104"/>
      <c r="E59" s="104"/>
      <c r="F59" s="105"/>
      <c r="G59" s="24">
        <f>(G53+G54-G55)*(1+'Fane 14. Nøgletal'!C14)</f>
        <v>96965121.933953762</v>
      </c>
      <c r="H59" s="14" t="s">
        <v>3</v>
      </c>
      <c r="I59" s="1"/>
    </row>
    <row r="60" spans="1:9" x14ac:dyDescent="0.25">
      <c r="A60" s="1"/>
      <c r="B60" s="103" t="s">
        <v>256</v>
      </c>
      <c r="C60" s="104"/>
      <c r="D60" s="104"/>
      <c r="E60" s="104"/>
      <c r="F60" s="105"/>
      <c r="G60" s="9">
        <f>-'Fane 13. Bortfald'!E30*(1+'Fane 14. Nøgletal'!C14)</f>
        <v>0</v>
      </c>
      <c r="H60" s="14" t="s">
        <v>3</v>
      </c>
      <c r="I60" s="1"/>
    </row>
    <row r="61" spans="1:9" x14ac:dyDescent="0.25">
      <c r="A61" s="1"/>
      <c r="B61" s="103" t="s">
        <v>257</v>
      </c>
      <c r="C61" s="104"/>
      <c r="D61" s="104"/>
      <c r="E61" s="104"/>
      <c r="F61" s="105"/>
      <c r="G61" s="24">
        <f>(G59+G60)*'Fane 14. Nøgletal'!C24</f>
        <v>1435083.8046225158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NI4bJMBMuLI+5UWwUV3lBvFegTitZtjERgEYn5YqrPgaibm+CyY8Wh/ZBNxBjPrYqf4uMBJa2gnuZLLYTNAf/A==" saltValue="AisyuD6RYRiTg8iNXEDoTw==" spinCount="100000" sheet="1" objects="1" scenarios="1"/>
  <mergeCells count="37">
    <mergeCell ref="B58:H58"/>
    <mergeCell ref="B59:F59"/>
    <mergeCell ref="B60:F60"/>
    <mergeCell ref="B61:F61"/>
    <mergeCell ref="B43:F43"/>
    <mergeCell ref="B41:F41"/>
    <mergeCell ref="B28:H28"/>
    <mergeCell ref="B29:F29"/>
    <mergeCell ref="B31:F31"/>
    <mergeCell ref="B34:H34"/>
    <mergeCell ref="B36:F36"/>
    <mergeCell ref="B37:F37"/>
    <mergeCell ref="B40:H40"/>
    <mergeCell ref="B17:F17"/>
    <mergeCell ref="B18:F18"/>
    <mergeCell ref="B30:F30"/>
    <mergeCell ref="B22:H22"/>
    <mergeCell ref="B11:F11"/>
    <mergeCell ref="B23:F23"/>
    <mergeCell ref="B24:F24"/>
    <mergeCell ref="B25:F25"/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96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10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103" t="s">
        <v>243</v>
      </c>
      <c r="C9" s="104"/>
      <c r="D9" s="104"/>
      <c r="E9" s="104"/>
      <c r="F9" s="105"/>
      <c r="G9" s="23">
        <v>1.093647294492078E-2</v>
      </c>
      <c r="H9" s="14"/>
      <c r="I9" s="1"/>
    </row>
    <row r="10" spans="1:9" x14ac:dyDescent="0.25">
      <c r="A10" s="1"/>
      <c r="B10" s="103" t="s">
        <v>86</v>
      </c>
      <c r="C10" s="104"/>
      <c r="D10" s="104"/>
      <c r="E10" s="104"/>
      <c r="F10" s="105"/>
      <c r="G10" s="23">
        <v>0.02</v>
      </c>
      <c r="H10" s="14"/>
      <c r="I10" s="1"/>
    </row>
    <row r="11" spans="1:9" x14ac:dyDescent="0.25">
      <c r="A11" s="1"/>
      <c r="B11" s="103" t="s">
        <v>87</v>
      </c>
      <c r="C11" s="104"/>
      <c r="D11" s="104"/>
      <c r="E11" s="104"/>
      <c r="F11" s="105"/>
      <c r="G11" s="41">
        <v>0.02</v>
      </c>
      <c r="H11" s="14"/>
      <c r="I11" s="1"/>
    </row>
    <row r="12" spans="1:9" x14ac:dyDescent="0.25">
      <c r="A12" s="1"/>
      <c r="B12" s="103" t="s">
        <v>206</v>
      </c>
      <c r="C12" s="104"/>
      <c r="D12" s="104"/>
      <c r="E12" s="104"/>
      <c r="F12" s="105"/>
      <c r="G12" s="41">
        <v>1.4848419413879318E-2</v>
      </c>
      <c r="H12" s="46"/>
      <c r="I12" s="1"/>
    </row>
    <row r="13" spans="1:9" x14ac:dyDescent="0.2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25">
      <c r="A14" s="1"/>
      <c r="B14" s="114" t="s">
        <v>207</v>
      </c>
      <c r="C14" s="114"/>
      <c r="D14" s="114"/>
      <c r="E14" s="114"/>
      <c r="F14" s="114"/>
      <c r="G14" s="114"/>
      <c r="H14" s="114"/>
      <c r="I14" s="1"/>
    </row>
    <row r="15" spans="1:9" ht="14.25" customHeight="1" x14ac:dyDescent="0.25">
      <c r="A15" s="18"/>
      <c r="B15" s="114"/>
      <c r="C15" s="114"/>
      <c r="D15" s="114"/>
      <c r="E15" s="114"/>
      <c r="F15" s="114"/>
      <c r="G15" s="114"/>
      <c r="H15" s="114"/>
      <c r="I15" s="18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CTpSK6mSN2/PydeKoS0dl2yLl/25lBWCy15QwnLfgqmJfRrT4At+Mmlk1sA6NWllM36fwYgrsWzKFngn0rr7NA==" saltValue="LuHgfd82a/Sta0FHz0YO5A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Anna Ingeborg Knuhtsen</cp:lastModifiedBy>
  <cp:lastPrinted>2016-06-14T12:57:30Z</cp:lastPrinted>
  <dcterms:created xsi:type="dcterms:W3CDTF">2016-06-02T08:51:18Z</dcterms:created>
  <dcterms:modified xsi:type="dcterms:W3CDTF">2022-09-02T10:48:48Z</dcterms:modified>
</cp:coreProperties>
</file>