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Rødovre AS (S046)\ØR2024\"/>
    </mc:Choice>
  </mc:AlternateContent>
  <xr:revisionPtr revIDLastSave="0" documentId="13_ncr:1_{5B03CF38-38F5-4560-A82F-D0929A2D371D}"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8" i="44" s="1"/>
  <c r="E17" i="44"/>
  <c r="E29" i="44" l="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<sst xmlns="http://schemas.openxmlformats.org/spreadsheetml/2006/main" count="652" uniqueCount="288">
  <si>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</si>
  <si>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</si>
  <si>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</si>
  <si>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</si>
  <si>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</si>
  <si>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</si>
  <si>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</si>
  <si>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</si>
  <si>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</si>
  <si>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</si>
  <si>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</si>
  <si>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</si>
  <si>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</si>
  <si>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</si>
  <si>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</si>
  <si>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</si>
  <si>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</si>
  <si>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</si>
  <si>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</si>
  <si>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</si>
  <si>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</si>
  <si>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</si>
  <si>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</si>
  <si>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</si>
  <si>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</si>
  <si>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</si>
  <si>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</si>
  <si>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</si>
  <si>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</si>
  <si>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</si>
  <si>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</si>
  <si>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</si>
  <si>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</si>
  <si>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</si>
  <si>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</si>
  <si>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</si>
  <si>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</si>
  <si>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</si>
  <si>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</si>
  <si>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</si>
  <si>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</si>
  <si>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</si>
  <si>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</si>
  <si>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</si>
  <si>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</si>
  <si>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</si>
  <si>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</si>
  <si>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</si>
  <si>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</si>
  <si>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</si>
  <si>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</si>
  <si>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</si>
  <si>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</si>
  <si>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</si>
  <si>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</si>
  <si>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</si>
  <si>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</si>
  <si>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</si>
  <si>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</si>
  <si>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</si>
  <si>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</si>
  <si>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</si>
  <si>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</si>
  <si>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</si>
  <si>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</si>
  <si>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</si>
  <si>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</si>
  <si>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</si>
  <si>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</si>
  <si>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</si>
  <si>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</si>
  <si>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</si>
  <si>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</si>
  <si>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</si>
  <si>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</si>
  <si>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</si>
  <si>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</si>
  <si>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</si>
  <si>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</si>
  <si>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</si>
  <si>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</si>
  <si>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</si>
  <si>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</si>
  <si>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</si>
  <si>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</si>
  <si>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</si>
  <si>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</si>
  <si>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</si>
  <si>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</si>
  <si>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</si>
  <si>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</si>
  <si>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</si>
  <si>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</si>
  <si>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</si>
  <si>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</si>
  <si>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</si>
  <si>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</si>
  <si>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</si>
  <si>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</si>
  <si>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</si>
  <si>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</si>
  <si>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</si>
  <si>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</si>
  <si>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</si>
  <si>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</si>
  <si>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</si>
  <si>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</si>
  <si>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</si>
  <si>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</si>
  <si>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</si>
  <si>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</si>
  <si>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</si>
  <si>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</si>
  <si>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</si>
  <si>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</si>
  <si>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</si>
  <si>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</si>
  <si>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</si>
  <si>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</si>
  <si>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</si>
  <si>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</si>
  <si>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</si>
  <si>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</si>
  <si>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</si>
  <si>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</si>
  <si>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</si>
  <si>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</si>
  <si>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</si>
  <si>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</si>
  <si>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</si>
  <si>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</si>
  <si>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</si>
  <si>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</si>
  <si>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</si>
  <si>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</si>
  <si>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</si>
  <si>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</si>
  <si>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</si>
  <si>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</si>
  <si>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</si>
  <si>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</si>
  <si>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</si>
  <si>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</si>
  <si>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</si>
  <si>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</si>
  <si>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</si>
  <si>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</si>
  <si>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</si>
  <si>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</si>
  <si>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</si>
  <si>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</si>
  <si>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</si>
  <si>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</si>
  <si>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</si>
  <si>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</si>
  <si>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</si>
  <si>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</si>
  <si>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</si>
  <si>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</si>
  <si>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</si>
  <si>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</si>
  <si>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</si>
  <si>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</si>
  <si>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</si>
  <si>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</si>
  <si>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</si>
  <si>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</si>
  <si>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</si>
  <si>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</si>
  <si>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</si>
  <si>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</si>
  <si>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</si>
  <si>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</si>
  <si>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</si>
  <si>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</si>
  <si>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</si>
  <si>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</si>
  <si>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</si>
  <si>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</si>
  <si>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</si>
  <si>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</si>
  <si>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</si>
  <si>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</si>
  <si>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</si>
  <si>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</si>
  <si>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</si>
  <si>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</si>
  <si>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</si>
  <si>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</si>
  <si>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</si>
  <si>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</si>
  <si>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</si>
  <si>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</si>
  <si>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</si>
  <si>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</si>
  <si>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</si>
  <si>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</si>
  <si>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</si>
  <si>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</si>
  <si>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</si>
  <si>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</si>
  <si>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</si>
  <si>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</si>
  <si>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</si>
  <si>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</si>
  <si>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</si>
  <si>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</si>
  <si>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</si>
  <si>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</si>
  <si>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</si>
  <si>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</si>
  <si>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</si>
  <si>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</si>
  <si>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</si>
  <si>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</si>
  <si>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</si>
  <si>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</si>
  <si>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</si>
  <si>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</si>
  <si>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</si>
  <si>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</si>
  <si>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</si>
  <si>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</si>
  <si>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</si>
  <si>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</si>
  <si>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</si>
  <si>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</si>
  <si>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</si>
  <si>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</si>
  <si>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</si>
  <si>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</si>
  <si>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</si>
  <si>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</si>
  <si>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</si>
  <si>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</si>
  <si>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</si>
  <si>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</si>
  <si>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</si>
  <si>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</si>
  <si>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</si>
  <si>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</si>
  <si>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</si>
  <si>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</si>
  <si>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</si>
  <si>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</si>
  <si>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</si>
  <si>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</si>
  <si>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</si>
  <si>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</si>
  <si>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</si>
  <si>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</si>
  <si>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</si>
  <si>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</si>
  <si>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</si>
  <si>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</si>
  <si>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</si>
  <si>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</si>
  <si>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</si>
  <si>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</si>
  <si>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</si>
  <si>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</si>
  <si>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</si>
  <si>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</si>
  <si>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</si>
  <si>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</si>
  <si>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</si>
  <si>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</si>
  <si>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</si>
  <si>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</si>
  <si>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</si>
  <si>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</si>
  <si>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</si>
  <si>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</si>
  <si>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</si>
  <si>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</si>
  <si>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</si>
  <si>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</si>
  <si>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</si>
  <si>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</si>
  <si>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</si>
  <si>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</si>
  <si>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</si>
  <si>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</si>
  <si>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</si>
  <si>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</si>
  <si>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</si>
  <si>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Øget antal forbrugere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</si>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</sst>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aIc52plliUloyU50AUKqTy5dDK7PCL+5cOppbg0+B8EtEnrmnEfvN6ObnKmn6nmPEfrXpn8mSMsZtcA0dvFciw==" saltValue="CJPjK5fauPcVU7zO5hj5D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92878</v>
      </c>
      <c r="D10" s="14" t="s">
        <v>3</v>
      </c>
      <c r="E10" s="1"/>
      <c r="F10" s="1"/>
    </row>
    <row r="11" spans="1:6" ht="26.25" x14ac:dyDescent="0.25">
      <c r="A11" s="1"/>
      <c r="B11" s="29" t="s">
        <v>273</v>
      </c>
      <c r="C11" s="9">
        <v>12901684</v>
      </c>
      <c r="D11" s="14" t="s">
        <v>3</v>
      </c>
      <c r="E11" s="1"/>
      <c r="F11" s="1"/>
    </row>
    <row r="12" spans="1:6" x14ac:dyDescent="0.25">
      <c r="A12" s="1"/>
      <c r="B12" s="81"/>
      <c r="C12" s="9"/>
      <c r="D12" s="14" t="s">
        <v>3</v>
      </c>
      <c r="E12" s="1"/>
      <c r="F12" s="1"/>
    </row>
    <row r="13" spans="1:6" x14ac:dyDescent="0.25">
      <c r="A13" s="1"/>
      <c r="B13" s="81"/>
      <c r="C13" s="9"/>
      <c r="D13" s="14" t="s">
        <v>3</v>
      </c>
      <c r="E13" s="1"/>
      <c r="F13" s="1"/>
    </row>
    <row r="14" spans="1:6" x14ac:dyDescent="0.25">
      <c r="A14" s="1"/>
      <c r="B14" s="81"/>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12994562</v>
      </c>
      <c r="D20" s="13" t="s">
        <v>3</v>
      </c>
      <c r="E20" s="1"/>
      <c r="F20" s="1"/>
    </row>
    <row r="21" spans="1:6" x14ac:dyDescent="0.25">
      <c r="A21" s="1"/>
      <c r="B21" s="33" t="s">
        <v>227</v>
      </c>
      <c r="C21" s="12">
        <f>C20*(1+'Fane 15. Nøgletal'!C16)^2</f>
        <v>15179320.03645568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209000</v>
      </c>
      <c r="D25" s="14" t="s">
        <v>3</v>
      </c>
      <c r="E25" s="1"/>
      <c r="F25" s="1"/>
    </row>
    <row r="26" spans="1:6" x14ac:dyDescent="0.25">
      <c r="A26" s="1"/>
      <c r="B26" s="81" t="s">
        <v>123</v>
      </c>
      <c r="C26" s="9">
        <v>209000</v>
      </c>
      <c r="D26" s="14" t="s">
        <v>3</v>
      </c>
      <c r="E26" s="1"/>
      <c r="F26" s="1"/>
    </row>
    <row r="27" spans="1:6" x14ac:dyDescent="0.25">
      <c r="A27" s="1"/>
      <c r="B27" s="81" t="s">
        <v>142</v>
      </c>
      <c r="C27" s="9">
        <v>209000</v>
      </c>
      <c r="D27" s="14" t="s">
        <v>3</v>
      </c>
      <c r="E27" s="1"/>
      <c r="F27" s="1"/>
    </row>
    <row r="28" spans="1:6" x14ac:dyDescent="0.25">
      <c r="A28" s="1"/>
      <c r="B28" s="34" t="s">
        <v>261</v>
      </c>
      <c r="C28" s="9">
        <v>209000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z9aSkEapdc1bYsLPH0GHCoreefi7SIDLBeHJUlEKIWo+Nr7i9v6m2Ia3CJje9Zj6moQbz8NKf1KxiZO9BG1vLg==" saltValue="LX7c81voFeWgLuJDkbiDw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B9AD-753C-4AB1-BF22-BA5576BE8A36}">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274</v>
      </c>
      <c r="C9" s="121"/>
      <c r="D9" s="122"/>
      <c r="E9" s="9">
        <v>7107724</v>
      </c>
      <c r="F9" s="14" t="s">
        <v>3</v>
      </c>
      <c r="G9" s="1"/>
    </row>
    <row r="10" spans="1:7" ht="15" customHeight="1" x14ac:dyDescent="0.25">
      <c r="A10" s="1"/>
      <c r="B10" s="120" t="s">
        <v>143</v>
      </c>
      <c r="C10" s="121"/>
      <c r="D10" s="122"/>
      <c r="E10" s="9">
        <v>-2871994</v>
      </c>
      <c r="F10" s="14" t="s">
        <v>3</v>
      </c>
      <c r="G10" s="1"/>
    </row>
    <row r="11" spans="1:7" ht="15" customHeight="1" x14ac:dyDescent="0.25">
      <c r="A11" s="1"/>
      <c r="B11" s="120" t="s">
        <v>275</v>
      </c>
      <c r="C11" s="121"/>
      <c r="D11" s="122"/>
      <c r="E11" s="9">
        <v>-2373216</v>
      </c>
      <c r="F11" s="14" t="s">
        <v>3</v>
      </c>
      <c r="G11" s="1"/>
    </row>
    <row r="12" spans="1:7" x14ac:dyDescent="0.25">
      <c r="A12" s="1"/>
      <c r="B12" s="33"/>
      <c r="C12" s="28"/>
      <c r="D12" s="28"/>
      <c r="E12" s="28"/>
      <c r="F12" s="19"/>
      <c r="G12" s="1"/>
    </row>
    <row r="13" spans="1:7" ht="42" customHeight="1" x14ac:dyDescent="0.25">
      <c r="A13" s="1"/>
      <c r="B13" s="114" t="s">
        <v>276</v>
      </c>
      <c r="C13" s="115"/>
      <c r="D13" s="115"/>
      <c r="E13" s="115"/>
      <c r="F13" s="116"/>
      <c r="G13" s="1"/>
    </row>
    <row r="14" spans="1:7" ht="15" customHeight="1" x14ac:dyDescent="0.25">
      <c r="A14" s="1"/>
      <c r="B14" s="1"/>
      <c r="C14" s="1"/>
      <c r="D14" s="1"/>
      <c r="E14" s="1"/>
      <c r="F14" s="1"/>
      <c r="G14" s="1"/>
    </row>
    <row r="15" spans="1:7" x14ac:dyDescent="0.25">
      <c r="A15" s="1"/>
      <c r="B15" s="75" t="s">
        <v>277</v>
      </c>
      <c r="C15" s="76"/>
      <c r="D15" s="76"/>
      <c r="E15" s="76"/>
      <c r="F15" s="77"/>
      <c r="G15" s="1"/>
    </row>
    <row r="16" spans="1:7" x14ac:dyDescent="0.25">
      <c r="A16" s="1"/>
      <c r="B16" s="78" t="s">
        <v>278</v>
      </c>
      <c r="C16" s="79"/>
      <c r="D16" s="80"/>
      <c r="E16" s="9">
        <f>IF(E11&lt;0,E11,0)</f>
        <v>-2373216</v>
      </c>
      <c r="F16" s="14" t="s">
        <v>3</v>
      </c>
      <c r="G16" s="1"/>
    </row>
    <row r="17" spans="1:7" x14ac:dyDescent="0.25">
      <c r="A17" s="1"/>
      <c r="B17" s="78" t="s">
        <v>279</v>
      </c>
      <c r="C17" s="79"/>
      <c r="D17" s="80"/>
      <c r="E17" s="9">
        <f>IF(SUM(E10)&gt;0,SUM(E10),0)</f>
        <v>0</v>
      </c>
      <c r="F17" s="14" t="s">
        <v>3</v>
      </c>
      <c r="G17" s="1"/>
    </row>
    <row r="18" spans="1:7" x14ac:dyDescent="0.25">
      <c r="A18" s="1"/>
      <c r="B18" s="82" t="s">
        <v>280</v>
      </c>
      <c r="C18" s="83"/>
      <c r="D18" s="84"/>
      <c r="E18" s="62">
        <f>IF(SUM(E16:E17)&gt;0,0,SUM(E16:E17))</f>
        <v>-2373216</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281</v>
      </c>
      <c r="C21" s="76"/>
      <c r="D21" s="76"/>
      <c r="E21" s="76"/>
      <c r="F21" s="77"/>
      <c r="G21" s="1"/>
    </row>
    <row r="22" spans="1:7" x14ac:dyDescent="0.25">
      <c r="A22" s="1"/>
      <c r="B22" s="78" t="s">
        <v>282</v>
      </c>
      <c r="C22" s="79"/>
      <c r="D22" s="80"/>
      <c r="E22" s="9">
        <v>36191690</v>
      </c>
      <c r="F22" s="14" t="s">
        <v>3</v>
      </c>
      <c r="G22" s="1"/>
    </row>
    <row r="23" spans="1:7" x14ac:dyDescent="0.25">
      <c r="A23" s="1"/>
      <c r="B23" s="78" t="s">
        <v>283</v>
      </c>
      <c r="C23" s="79"/>
      <c r="D23" s="80"/>
      <c r="E23" s="9">
        <v>38916357</v>
      </c>
      <c r="F23" s="14" t="s">
        <v>3</v>
      </c>
      <c r="G23" s="1"/>
    </row>
    <row r="24" spans="1:7" x14ac:dyDescent="0.25">
      <c r="A24" s="1"/>
      <c r="B24" s="78" t="s">
        <v>30</v>
      </c>
      <c r="C24" s="79"/>
      <c r="D24" s="80"/>
      <c r="E24" s="9">
        <v>0</v>
      </c>
      <c r="F24" s="14" t="s">
        <v>3</v>
      </c>
      <c r="G24" s="1"/>
    </row>
    <row r="25" spans="1:7" x14ac:dyDescent="0.25">
      <c r="A25" s="1"/>
      <c r="B25" s="82" t="s">
        <v>284</v>
      </c>
      <c r="C25" s="83"/>
      <c r="D25" s="84"/>
      <c r="E25" s="62">
        <f>E22-E23-E24</f>
        <v>-2724667</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285</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-5097883</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-2548941.5</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bH6sSh9RgxAyFL+LogYyuB8cJ5EBkWwOhM5G9T1nzO38uY9pJrh/NIQtuVO69qB+tqpkuynH5NWzhxvZ4WNnlg==" saltValue="F4QiBrj0cU1EvqR73Lp8iw=="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t6TJYsrpJuUIYGL48TMjgZkFRmgBnSh4EqxAhQT3oxDzjPZzeoylZ6QnUTMnXgfATBfwuMV7N0s+oqHVMGdN6A==" saltValue="EZ97xNhbGDNBwCBP2UK8lw=="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209000</v>
      </c>
      <c r="F14" s="8" t="s">
        <v>3</v>
      </c>
      <c r="G14" s="1"/>
    </row>
    <row r="15" spans="1:7" x14ac:dyDescent="0.25">
      <c r="A15" s="1"/>
      <c r="B15" s="114" t="s">
        <v>231</v>
      </c>
      <c r="C15" s="115"/>
      <c r="D15" s="116"/>
      <c r="E15" s="7">
        <v>171471</v>
      </c>
      <c r="F15" s="8" t="s">
        <v>3</v>
      </c>
      <c r="G15" s="1"/>
    </row>
    <row r="16" spans="1:7" x14ac:dyDescent="0.25">
      <c r="A16" s="1"/>
      <c r="B16" s="135" t="s">
        <v>83</v>
      </c>
      <c r="C16" s="136"/>
      <c r="D16" s="137"/>
      <c r="E16" s="10">
        <f>E15-E14</f>
        <v>-37529</v>
      </c>
      <c r="F16" s="11" t="s">
        <v>3</v>
      </c>
      <c r="G16" s="1"/>
    </row>
    <row r="17" spans="1:7" x14ac:dyDescent="0.25">
      <c r="A17" s="1"/>
      <c r="B17" s="33" t="s">
        <v>232</v>
      </c>
      <c r="C17" s="28"/>
      <c r="D17" s="28"/>
      <c r="E17" s="12">
        <f>E12+E16</f>
        <v>-37529</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YWOeVlzgsFITr+fxk+4SUCz2Lba3VAG1jTgW7IclJCqVemm/CRCDstR3zlwKAhDt1CKUlpHlEXiWbGNAnKjRw==" saltValue="JtMc2gcasDLMvG2rrO8rB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C5EXxlCoqo2fzNlfySjywmlVWe6jGA8NQQvhAYfVKOlASRUyIbzRA0IeJbioTetQ6nyZ3cxCm2dJNpok9TCynA==" saltValue="6E3LdPHuUjPxatCipdiGW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286</v>
      </c>
      <c r="C11" s="21">
        <v>919901</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919901</v>
      </c>
      <c r="D19" s="13" t="s">
        <v>3</v>
      </c>
      <c r="E19" s="12">
        <f>SUM(E10:E18)</f>
        <v>0</v>
      </c>
      <c r="F19" s="13" t="s">
        <v>3</v>
      </c>
      <c r="G19" s="1"/>
    </row>
    <row r="20" spans="1:7" x14ac:dyDescent="0.25">
      <c r="A20" s="1"/>
      <c r="B20" s="33" t="s">
        <v>233</v>
      </c>
      <c r="C20" s="12">
        <f>C19*(1+'Fane 15. Nøgletal'!C16)</f>
        <v>994229.00080000004</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2yAW387qtnr0YW4CaAZa8fieNsI59ahdiIu1wTqnqi99wRYXVMkYw3tcTUzbk3FVRO9ntOCY2Ue0Yp6KSg/O+A==" saltValue="jZudqSrEChgwmcFFZbcEH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287</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c8weWlUnbomQ6GYxM8DaPq8wbWVB+H4Py2C/Gk5CkzKkrE8pnHYGaco83Fz6IvL34MYD/K3AY+pOTjhSz5IlQ==" saltValue="xsgsea2y4LolR/ASO+8TX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461203.48579146719</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-9224.0697158293442</v>
      </c>
      <c r="F12" s="14" t="s">
        <v>3</v>
      </c>
      <c r="G12" s="1"/>
    </row>
    <row r="13" spans="1:7" x14ac:dyDescent="0.25">
      <c r="A13" s="1"/>
      <c r="B13" s="117" t="s">
        <v>111</v>
      </c>
      <c r="C13" s="118"/>
      <c r="D13" s="119"/>
      <c r="E13" s="12">
        <f>SUM(E10:E12)*(1+'Fane 15. Nøgletal'!C16)^2</f>
        <v>527970.10060842894</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461203.48579146719</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-9224.0697158293442</v>
      </c>
      <c r="F18" s="14" t="s">
        <v>3</v>
      </c>
      <c r="G18" s="1"/>
    </row>
    <row r="19" spans="1:7" x14ac:dyDescent="0.25">
      <c r="A19" s="1"/>
      <c r="B19" s="117" t="s">
        <v>125</v>
      </c>
      <c r="C19" s="118"/>
      <c r="D19" s="119"/>
      <c r="E19" s="12">
        <f>SUM(E16:E18)*(1+'Fane 15. Nøgletal'!C16)^3</f>
        <v>570630.08473759005</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461203.48579146719</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-9224.0697158293442</v>
      </c>
      <c r="F24" s="14" t="s">
        <v>3</v>
      </c>
      <c r="G24" s="1"/>
    </row>
    <row r="25" spans="1:7" x14ac:dyDescent="0.25">
      <c r="A25" s="1"/>
      <c r="B25" s="117" t="s">
        <v>146</v>
      </c>
      <c r="C25" s="118"/>
      <c r="D25" s="119"/>
      <c r="E25" s="12">
        <f>SUM(E22:E24)*(1+'Fane 15. Nøgletal'!C16)^4</f>
        <v>616736.99558438722</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461203.48579146719</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-9224.0697158293442</v>
      </c>
      <c r="F30" s="14" t="s">
        <v>3</v>
      </c>
      <c r="G30" s="1"/>
    </row>
    <row r="31" spans="1:7" x14ac:dyDescent="0.25">
      <c r="A31" s="1"/>
      <c r="B31" s="117" t="s">
        <v>238</v>
      </c>
      <c r="C31" s="118"/>
      <c r="D31" s="119"/>
      <c r="E31" s="12">
        <f>SUM(E28:E30)*(1+'Fane 15. Nøgletal'!C16)^5</f>
        <v>666569.34482760576</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4n56Xj+Rh4CfIMKsbrwoB01PrpaXATvbfIbMzvTUeep8+j2Kjn5kaNyR0J3j/PjKLGJ0zASdVc76FkpDDhsl0w==" saltValue="txHnjzk4WH82f9FwVu6ib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tQrezI4iTE9j+j0TKNK2PCsPdregCm4pYa3W3yb+moo/97G+NvLwP7EnPBgkDM8GtBMuJIv7c7Er4gR6NxFlbw==" saltValue="0QXd0OdfXJgcmLy5ULn33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8wkrhsHE8a2PXpZotyOtJgKiKZCFlESjqF4sWn1lbHOVjvmQwnK8ijTEz6t0AYFi2lRXgOw3BZTxbRKyImbJQ==" saltValue="1M7Tem3uY+coOPTa2WoLH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25260648.188497663</v>
      </c>
      <c r="D9" s="8" t="s">
        <v>3</v>
      </c>
      <c r="E9" s="1"/>
    </row>
    <row r="10" spans="1:5" ht="17.25" customHeight="1" x14ac:dyDescent="0.25">
      <c r="A10" s="1"/>
      <c r="B10" s="88" t="s">
        <v>36</v>
      </c>
      <c r="C10" s="7">
        <f>'Fane 11.1. Varige tillæg'!C20</f>
        <v>994229.00080000004</v>
      </c>
      <c r="D10" s="8" t="s">
        <v>3</v>
      </c>
      <c r="E10" s="1"/>
    </row>
    <row r="11" spans="1:5" ht="17.25" customHeight="1" x14ac:dyDescent="0.25">
      <c r="A11" s="1"/>
      <c r="B11" s="88" t="s">
        <v>37</v>
      </c>
      <c r="C11" s="9">
        <f>'Fane 11.1. Varige tillæg'!E20</f>
        <v>0</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2121394.0768952509</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-193427.25289035009</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28182844.013302565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15388320.03645568</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527970.10060842894</v>
      </c>
      <c r="D24" s="11" t="s">
        <v>3</v>
      </c>
      <c r="E24" s="1"/>
    </row>
    <row r="25" spans="1:5" ht="15" customHeight="1" x14ac:dyDescent="0.25">
      <c r="A25" s="1"/>
      <c r="B25" s="44" t="s">
        <v>73</v>
      </c>
      <c r="C25" s="42"/>
      <c r="D25" s="43"/>
      <c r="E25" s="1"/>
    </row>
    <row r="26" spans="1:5" ht="15" customHeight="1" x14ac:dyDescent="0.25">
      <c r="A26" s="1"/>
      <c r="B26" s="88" t="s">
        <v>158</v>
      </c>
      <c r="C26" s="72">
        <f>'Fane 11.2. Engangstillæg'!C14</f>
        <v>0</v>
      </c>
      <c r="D26" s="8" t="s">
        <v>3</v>
      </c>
      <c r="E26" s="1"/>
    </row>
    <row r="27" spans="1:5" ht="15" customHeight="1" x14ac:dyDescent="0.25">
      <c r="A27" s="1"/>
      <c r="B27" s="88" t="s">
        <v>70</v>
      </c>
      <c r="C27" s="72">
        <f>'Fane 11.2. Engangstillæg'!E14</f>
        <v>0</v>
      </c>
      <c r="D27" s="8" t="s">
        <v>3</v>
      </c>
      <c r="E27" s="1"/>
    </row>
    <row r="28" spans="1:5" ht="15" customHeight="1" x14ac:dyDescent="0.25">
      <c r="A28" s="1"/>
      <c r="B28" s="88" t="s">
        <v>161</v>
      </c>
      <c r="C28" s="72">
        <f>-C26*('Fane 15. Nøgletal'!C33+'Fane 5. Individuelt eff. krav'!G9)</f>
        <v>0</v>
      </c>
      <c r="D28" s="8" t="s">
        <v>3</v>
      </c>
      <c r="E28" s="1"/>
    </row>
    <row r="29" spans="1:5" ht="15" customHeight="1" x14ac:dyDescent="0.25">
      <c r="A29" s="1"/>
      <c r="B29" s="88"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-2548941.5</v>
      </c>
      <c r="D32" s="11" t="s">
        <v>3</v>
      </c>
      <c r="E32" s="1"/>
    </row>
    <row r="33" spans="1:5" ht="15" customHeight="1" x14ac:dyDescent="0.25">
      <c r="A33" s="1"/>
      <c r="B33" s="33" t="s">
        <v>200</v>
      </c>
      <c r="C33" s="28"/>
      <c r="D33" s="19"/>
      <c r="E33" s="1"/>
    </row>
    <row r="34" spans="1:5" x14ac:dyDescent="0.25">
      <c r="A34" s="1"/>
      <c r="B34" s="31" t="s">
        <v>200</v>
      </c>
      <c r="C34" s="10">
        <f>'Fane 9. Korrektion af ØR2022'!E17</f>
        <v>-37529</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41512663.650366671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Aqv0tBbYmhKtJ2vkbN5Q9bl9xDb91iHZhRtMDd7xF95mp1n0aoJbiXVKmg25gkXe8KnujUktF+Yknt4pn/xA==" saltValue="fju9gjsDvaV7w2Q1GJFJu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2SfZe6zWmzXsgVL1mVyQXFA9+HAl8eQXu1Owqs2lKZ5g2RD2hPZgzh6OQDY0VKsz9bOrZ96rHBFa/rghdBP2og==" saltValue="DiuiFd0+tqAk0X8ma5g6i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28182844.013302565</v>
      </c>
      <c r="D9" s="8" t="s">
        <v>3</v>
      </c>
      <c r="E9" s="1"/>
    </row>
    <row r="10" spans="1:5" ht="15" customHeight="1" x14ac:dyDescent="0.25">
      <c r="A10" s="1"/>
      <c r="B10" s="26" t="s">
        <v>19</v>
      </c>
      <c r="C10" s="7">
        <f>SUM(C9:C9)*'Fane 15. Nøgletal'!C16</f>
        <v>2277173.7962748474</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-204875.05142541256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30255142.758152001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16614809.095401298</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570630.08473759005</v>
      </c>
      <c r="D18" s="11" t="s">
        <v>3</v>
      </c>
      <c r="E18" s="1"/>
    </row>
    <row r="19" spans="1:5" x14ac:dyDescent="0.25">
      <c r="A19" s="1"/>
      <c r="B19" s="33" t="s">
        <v>116</v>
      </c>
      <c r="C19" s="28"/>
      <c r="D19" s="19"/>
      <c r="E19" s="1"/>
    </row>
    <row r="20" spans="1:5" ht="15" customHeight="1" x14ac:dyDescent="0.25">
      <c r="A20" s="1"/>
      <c r="B20" s="31" t="s">
        <v>138</v>
      </c>
      <c r="C20" s="10">
        <f>'Fane 7. Kontrol af ØR2022'!E31</f>
        <v>-2548941.5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44891640.438290887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3uaaYqOXG87qn6onw705LqGw9yy8Xb3egKF/sTeHBoXVSOpY76JimpDCVYlh051J7Ws7613y+2NdAS20BN0yw==" saltValue="jeyxzB+qZxAKR0HIUClyC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30255142.758152001</v>
      </c>
      <c r="D9" s="8" t="s">
        <v>3</v>
      </c>
      <c r="E9" s="1"/>
    </row>
    <row r="10" spans="1:5" ht="15" customHeight="1" x14ac:dyDescent="0.25">
      <c r="A10" s="1"/>
      <c r="B10" s="26" t="s">
        <v>19</v>
      </c>
      <c r="C10" s="7">
        <f>SUM(C9:C9)*'Fane 15. Nøgletal'!C16</f>
        <v>2444615.5348586817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-217000.37646897417</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32482757.916541707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17940398.470309723</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616736.99558438722</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51039893.382435814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j2LvVN6+uh8jTc4qvQdo0H5NESmlTf+xHmEEYoYmIbqgfP40oL3FVjPL/uPO4tQ+ayQ6/464R5i0fzTs9Hqow==" saltValue="/CFUkj59W4IXLMAUQbDa/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32482757.916541707</v>
      </c>
      <c r="D9" s="8" t="s">
        <v>3</v>
      </c>
      <c r="E9" s="1"/>
      <c r="F9" s="1"/>
    </row>
    <row r="10" spans="1:6" ht="15" customHeight="1" x14ac:dyDescent="0.25">
      <c r="A10" s="1"/>
      <c r="B10" s="26" t="s">
        <v>19</v>
      </c>
      <c r="C10" s="7">
        <f>SUM(C9:C9)*'Fane 15. Nøgletal'!C16</f>
        <v>2624606.83965657</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-229843.32674991395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34877521.429448366</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19373095.466710746</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666569.34482760576</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54917186.24098672</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i3GpVKBLooJCYnpfIDMYjffb+scflhToGomduSwX0vlTQydsoh8P5fy3L3uirANJqsPaepekX0YoaZ0wSs2zDQ==" saltValue="qMxohJyjI/8YHjbjvon/f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24290174.988105945</v>
      </c>
      <c r="D9" s="8" t="s">
        <v>3</v>
      </c>
      <c r="E9" s="1"/>
    </row>
    <row r="10" spans="1:5" x14ac:dyDescent="0.25">
      <c r="A10" s="1"/>
      <c r="B10" s="88" t="s">
        <v>36</v>
      </c>
      <c r="C10" s="7">
        <v>1181302.7064</v>
      </c>
      <c r="D10" s="8" t="s">
        <v>3</v>
      </c>
      <c r="E10" s="1"/>
    </row>
    <row r="11" spans="1:5" x14ac:dyDescent="0.25">
      <c r="A11" s="1"/>
      <c r="B11" s="88" t="s">
        <v>37</v>
      </c>
      <c r="C11" s="9">
        <v>84793.892400000012</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125230.6163780296</v>
      </c>
      <c r="D16" s="8" t="s">
        <v>3</v>
      </c>
      <c r="E16" s="1"/>
    </row>
    <row r="17" spans="1:5" x14ac:dyDescent="0.25">
      <c r="A17" s="1"/>
      <c r="B17" s="88" t="s">
        <v>10</v>
      </c>
      <c r="C17" s="41">
        <v>0</v>
      </c>
      <c r="D17" s="8" t="s">
        <v>3</v>
      </c>
      <c r="E17" s="1"/>
    </row>
    <row r="18" spans="1:5" x14ac:dyDescent="0.25">
      <c r="A18" s="1"/>
      <c r="B18" s="88" t="s">
        <v>23</v>
      </c>
      <c r="C18" s="41">
        <v>-162328.73495923021</v>
      </c>
      <c r="D18" s="8" t="s">
        <v>3</v>
      </c>
      <c r="E18" s="1"/>
    </row>
    <row r="19" spans="1:5" x14ac:dyDescent="0.25">
      <c r="A19" s="1"/>
      <c r="B19" s="88" t="s">
        <v>24</v>
      </c>
      <c r="C19" s="41">
        <v>-258525.27982707907</v>
      </c>
      <c r="D19" s="8" t="s">
        <v>3</v>
      </c>
      <c r="E19" s="47"/>
    </row>
    <row r="20" spans="1:5" x14ac:dyDescent="0.25">
      <c r="A20" s="1"/>
      <c r="B20" s="82" t="s">
        <v>21</v>
      </c>
      <c r="C20" s="10">
        <v>25260648.188497663</v>
      </c>
      <c r="D20" s="11" t="s">
        <v>3</v>
      </c>
      <c r="E20" s="1"/>
    </row>
    <row r="21" spans="1:5" x14ac:dyDescent="0.25">
      <c r="A21" s="1"/>
      <c r="B21" s="33" t="s">
        <v>12</v>
      </c>
      <c r="C21" s="28"/>
      <c r="D21" s="19"/>
      <c r="E21" s="1"/>
    </row>
    <row r="22" spans="1:5" x14ac:dyDescent="0.25">
      <c r="A22" s="1"/>
      <c r="B22" s="31" t="s">
        <v>12</v>
      </c>
      <c r="C22" s="10">
        <v>15648040.635631042</v>
      </c>
      <c r="D22" s="11" t="s">
        <v>3</v>
      </c>
      <c r="E22" s="1"/>
    </row>
    <row r="23" spans="1:5" x14ac:dyDescent="0.25">
      <c r="A23" s="1"/>
      <c r="B23" s="33" t="s">
        <v>74</v>
      </c>
      <c r="C23" s="28"/>
      <c r="D23" s="19"/>
      <c r="E23" s="1"/>
    </row>
    <row r="24" spans="1:5" x14ac:dyDescent="0.25">
      <c r="A24" s="1"/>
      <c r="B24" s="82" t="s">
        <v>74</v>
      </c>
      <c r="C24" s="10">
        <v>483138.81304991618</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-2496383</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38895444.637178622</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3TpEy3c1qhx54NJ2ctrxcnvQtr+xNNUlRF+LAWSj7x3Mp/PBtNZO2jAQ8ztl6p+nuM9BFL1+G+u/u7qH5bZ+g==" saltValue="MAj5RS9kb/+6ngnzK2DXm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6231708.2141869487</v>
      </c>
      <c r="H5" s="14" t="s">
        <v>3</v>
      </c>
      <c r="I5" s="1"/>
    </row>
    <row r="6" spans="1:9" x14ac:dyDescent="0.25">
      <c r="A6" s="1"/>
      <c r="B6" s="114" t="s">
        <v>102</v>
      </c>
      <c r="C6" s="115"/>
      <c r="D6" s="115"/>
      <c r="E6" s="115"/>
      <c r="F6" s="116"/>
      <c r="G6" s="66">
        <v>430438</v>
      </c>
      <c r="H6" s="14" t="s">
        <v>3</v>
      </c>
      <c r="I6" s="1"/>
    </row>
    <row r="7" spans="1:9" x14ac:dyDescent="0.25">
      <c r="A7" s="1"/>
      <c r="B7" s="120" t="s">
        <v>39</v>
      </c>
      <c r="C7" s="121"/>
      <c r="D7" s="121"/>
      <c r="E7" s="121"/>
      <c r="F7" s="122"/>
      <c r="G7" s="23">
        <f>SUM(G5:G6)*'Fane 15. Nøgletal'!C33</f>
        <v>133242.92428373898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6205188.4324765159</v>
      </c>
      <c r="H11" s="14" t="s">
        <v>3</v>
      </c>
      <c r="I11" s="1"/>
    </row>
    <row r="12" spans="1:9" ht="15" customHeight="1" x14ac:dyDescent="0.25">
      <c r="A12" s="1"/>
      <c r="B12" s="120" t="s">
        <v>103</v>
      </c>
      <c r="C12" s="121"/>
      <c r="D12" s="121"/>
      <c r="E12" s="121"/>
      <c r="F12" s="122"/>
      <c r="G12" s="66">
        <v>0.31314565714215864</v>
      </c>
      <c r="H12" s="14" t="s">
        <v>3</v>
      </c>
      <c r="I12" s="1"/>
    </row>
    <row r="13" spans="1:9" x14ac:dyDescent="0.25">
      <c r="A13" s="1"/>
      <c r="B13" s="114" t="s">
        <v>100</v>
      </c>
      <c r="C13" s="115"/>
      <c r="D13" s="115"/>
      <c r="E13" s="115"/>
      <c r="F13" s="116"/>
      <c r="G13" s="66">
        <v>437970.66500000004</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132863.18821244346</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6178591.2546644006</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123571.82509328802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6174303.3123336639</v>
      </c>
      <c r="H25" s="14" t="s">
        <v>3</v>
      </c>
      <c r="I25" s="1"/>
    </row>
    <row r="26" spans="1:9" x14ac:dyDescent="0.25">
      <c r="A26" s="1"/>
      <c r="B26" s="123" t="s">
        <v>246</v>
      </c>
      <c r="C26" s="124"/>
      <c r="D26" s="124"/>
      <c r="E26" s="124"/>
      <c r="F26" s="125"/>
      <c r="G26" s="66">
        <v>0</v>
      </c>
      <c r="H26" s="14" t="s">
        <v>3</v>
      </c>
      <c r="I26" s="1"/>
    </row>
    <row r="27" spans="1:9" x14ac:dyDescent="0.25">
      <c r="A27" s="1"/>
      <c r="B27" s="120" t="s">
        <v>45</v>
      </c>
      <c r="C27" s="121"/>
      <c r="D27" s="121"/>
      <c r="E27" s="121"/>
      <c r="F27" s="122"/>
      <c r="G27" s="23">
        <f>(G25+G26)*'Fane 15. Nøgletal'!C33</f>
        <v>123486.06624667328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6170018.3458349044</v>
      </c>
      <c r="H31" s="14" t="s">
        <v>3</v>
      </c>
      <c r="I31" s="1"/>
    </row>
    <row r="32" spans="1:9" x14ac:dyDescent="0.25">
      <c r="A32" s="1"/>
      <c r="B32" s="120" t="s">
        <v>243</v>
      </c>
      <c r="C32" s="121"/>
      <c r="D32" s="121"/>
      <c r="E32" s="121"/>
      <c r="F32" s="122"/>
      <c r="G32" s="63">
        <v>960145.69991760002</v>
      </c>
      <c r="H32" s="14" t="s">
        <v>3</v>
      </c>
      <c r="I32" s="1"/>
    </row>
    <row r="33" spans="1:9" x14ac:dyDescent="0.25">
      <c r="A33" s="1"/>
      <c r="B33" s="120" t="s">
        <v>54</v>
      </c>
      <c r="C33" s="121"/>
      <c r="D33" s="121"/>
      <c r="E33" s="121"/>
      <c r="F33" s="122"/>
      <c r="G33" s="23">
        <f>(G31+G32)*'Fane 15. Nøgletal'!C33</f>
        <v>142603.2809150501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7010619.7153614191</v>
      </c>
      <c r="H37" s="14" t="s">
        <v>3</v>
      </c>
      <c r="I37" s="1"/>
    </row>
    <row r="38" spans="1:9" x14ac:dyDescent="0.25">
      <c r="A38" s="1"/>
      <c r="B38" s="120" t="s">
        <v>242</v>
      </c>
      <c r="C38" s="121"/>
      <c r="D38" s="121"/>
      <c r="E38" s="121"/>
      <c r="F38" s="122"/>
      <c r="G38" s="63">
        <v>0</v>
      </c>
      <c r="H38" s="14" t="s">
        <v>3</v>
      </c>
      <c r="I38" s="1"/>
    </row>
    <row r="39" spans="1:9" x14ac:dyDescent="0.25">
      <c r="A39" s="1"/>
      <c r="B39" s="120" t="s">
        <v>128</v>
      </c>
      <c r="C39" s="121"/>
      <c r="D39" s="121"/>
      <c r="E39" s="121"/>
      <c r="F39" s="122"/>
      <c r="G39" s="23">
        <f>(G37+G38)*'Fane 15. Nøgletal'!C33</f>
        <v>140212.39430722839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6893079.6652136697</v>
      </c>
      <c r="H43" s="14" t="s">
        <v>3</v>
      </c>
      <c r="I43" s="1"/>
    </row>
    <row r="44" spans="1:9" x14ac:dyDescent="0.25">
      <c r="A44" s="1"/>
      <c r="B44" s="126" t="s">
        <v>157</v>
      </c>
      <c r="C44" s="127"/>
      <c r="D44" s="127"/>
      <c r="E44" s="127"/>
      <c r="F44" s="128"/>
      <c r="G44" s="45">
        <v>1223357.0827478401</v>
      </c>
      <c r="H44" s="14" t="s">
        <v>3</v>
      </c>
      <c r="I44" s="1"/>
    </row>
    <row r="45" spans="1:9" x14ac:dyDescent="0.25">
      <c r="A45" s="1"/>
      <c r="B45" s="120" t="s">
        <v>129</v>
      </c>
      <c r="C45" s="121"/>
      <c r="D45" s="121"/>
      <c r="E45" s="121"/>
      <c r="F45" s="122"/>
      <c r="G45" s="23">
        <f>SUM(G43:G44)*'Fane 15. Nøgletal'!C33</f>
        <v>162328.73495923021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8596799.9404528644</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1074562.70406464</v>
      </c>
      <c r="H53" s="14" t="s">
        <v>3</v>
      </c>
      <c r="I53" s="1"/>
    </row>
    <row r="54" spans="1:9" x14ac:dyDescent="0.25">
      <c r="A54" s="1"/>
      <c r="B54" s="120" t="s">
        <v>210</v>
      </c>
      <c r="C54" s="121"/>
      <c r="D54" s="121"/>
      <c r="E54" s="121"/>
      <c r="F54" s="122"/>
      <c r="G54" s="23">
        <f>(G52)*'Fane 15. Nøgletal'!C33+(G53)*'Fane 15. Nøgletal'!C33</f>
        <v>193427.25289035009</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10243752.571270628</v>
      </c>
      <c r="H58" s="14" t="s">
        <v>3</v>
      </c>
      <c r="I58" s="1"/>
    </row>
    <row r="59" spans="1:9" x14ac:dyDescent="0.25">
      <c r="A59" s="1"/>
      <c r="B59" s="78" t="s">
        <v>211</v>
      </c>
      <c r="C59" s="79"/>
      <c r="D59" s="79"/>
      <c r="E59" s="79"/>
      <c r="F59" s="80"/>
      <c r="G59" s="23">
        <f>(G58)*'Fane 15. Nøgletal'!C33</f>
        <v>204875.05142541256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10850018.823448708</v>
      </c>
      <c r="H63" s="14" t="s">
        <v>3</v>
      </c>
      <c r="I63" s="1"/>
    </row>
    <row r="64" spans="1:9" x14ac:dyDescent="0.25">
      <c r="A64" s="1"/>
      <c r="B64" s="78" t="s">
        <v>214</v>
      </c>
      <c r="C64" s="79"/>
      <c r="D64" s="79"/>
      <c r="E64" s="79"/>
      <c r="F64" s="80"/>
      <c r="G64" s="23">
        <f>(G63)*'Fane 15. Nøgletal'!C33</f>
        <v>217000.37646897417</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11492166.337495698</v>
      </c>
      <c r="H68" s="14" t="s">
        <v>3</v>
      </c>
      <c r="I68" s="1"/>
    </row>
    <row r="69" spans="1:9" x14ac:dyDescent="0.25">
      <c r="A69" s="1"/>
      <c r="B69" s="78" t="s">
        <v>214</v>
      </c>
      <c r="C69" s="79"/>
      <c r="D69" s="79"/>
      <c r="E69" s="79"/>
      <c r="F69" s="80"/>
      <c r="G69" s="23">
        <f>(G68)*'Fane 15. Nøgletal'!C33</f>
        <v>229843.32674991395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pEZ92hn0aH5Vp9Y9esaJnm1oft9Vp5bK8W9woiRleR8nataWmJA+rWRjvZ7K4BBdBniPhi041B2IQMIA01G66w==" saltValue="9X9HDGI91D3GHkd/jOd/d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14157595.319691734</v>
      </c>
      <c r="H5" s="14" t="s">
        <v>3</v>
      </c>
      <c r="I5" s="1"/>
    </row>
    <row r="6" spans="1:9" x14ac:dyDescent="0.25">
      <c r="A6" s="1"/>
      <c r="B6" s="120" t="s">
        <v>51</v>
      </c>
      <c r="C6" s="121"/>
      <c r="D6" s="121"/>
      <c r="E6" s="121"/>
      <c r="F6" s="122"/>
      <c r="G6" s="23">
        <f>G5*'Fane 15. Nøgletal'!C21</f>
        <v>128834.11740919479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14274264.523322485</v>
      </c>
      <c r="H10" s="14" t="s">
        <v>3</v>
      </c>
      <c r="I10" s="1"/>
    </row>
    <row r="11" spans="1:9" x14ac:dyDescent="0.25">
      <c r="A11" s="1"/>
      <c r="B11" s="120" t="s">
        <v>104</v>
      </c>
      <c r="C11" s="121"/>
      <c r="D11" s="121"/>
      <c r="E11" s="121"/>
      <c r="F11" s="122"/>
      <c r="G11" s="63">
        <v>43147.22217954103</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253418.18789538587</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14310113.444864759</v>
      </c>
      <c r="H17" s="14" t="s">
        <v>3</v>
      </c>
      <c r="I17" s="1"/>
    </row>
    <row r="18" spans="1:9" x14ac:dyDescent="0.25">
      <c r="A18" s="1"/>
      <c r="B18" s="123" t="s">
        <v>248</v>
      </c>
      <c r="C18" s="124"/>
      <c r="D18" s="124"/>
      <c r="E18" s="124"/>
      <c r="F18" s="125"/>
      <c r="G18" s="63">
        <v>1275219.8970534597</v>
      </c>
      <c r="H18" s="14" t="s">
        <v>3</v>
      </c>
      <c r="I18" s="1"/>
    </row>
    <row r="19" spans="1:9" x14ac:dyDescent="0.25">
      <c r="A19" s="1"/>
      <c r="B19" s="120" t="s">
        <v>61</v>
      </c>
      <c r="C19" s="121"/>
      <c r="D19" s="121"/>
      <c r="E19" s="121"/>
      <c r="F19" s="122"/>
      <c r="G19" s="23">
        <f>G17*'Fane 15. Nøgletal'!C22+G18*'Fane 15. Nøgletal'!C23</f>
        <v>264383.42107847135</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15622772.63428029</v>
      </c>
      <c r="H23" s="14" t="s">
        <v>3</v>
      </c>
      <c r="I23" s="1"/>
    </row>
    <row r="24" spans="1:9" x14ac:dyDescent="0.25">
      <c r="A24" s="1"/>
      <c r="B24" s="123" t="s">
        <v>249</v>
      </c>
      <c r="C24" s="124"/>
      <c r="D24" s="124"/>
      <c r="E24" s="124"/>
      <c r="F24" s="125"/>
      <c r="G24" s="63">
        <v>415302.53047008667</v>
      </c>
      <c r="H24" s="14" t="s">
        <v>3</v>
      </c>
      <c r="I24" s="1"/>
    </row>
    <row r="25" spans="1:9" x14ac:dyDescent="0.25">
      <c r="A25" s="1"/>
      <c r="B25" s="120" t="s">
        <v>64</v>
      </c>
      <c r="C25" s="121"/>
      <c r="D25" s="121"/>
      <c r="E25" s="121"/>
      <c r="F25" s="122"/>
      <c r="G25" s="23">
        <f>(G23+G24)*'Fane 15. Nøgletal'!C24</f>
        <v>455481.33467891073</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15889570.928523874</v>
      </c>
      <c r="H29" s="14" t="s">
        <v>3</v>
      </c>
      <c r="I29" s="1"/>
    </row>
    <row r="30" spans="1:9" x14ac:dyDescent="0.25">
      <c r="A30" s="1"/>
      <c r="B30" s="120" t="s">
        <v>250</v>
      </c>
      <c r="C30" s="121"/>
      <c r="D30" s="121"/>
      <c r="E30" s="121"/>
      <c r="F30" s="122"/>
      <c r="G30" s="63">
        <v>1678697.660619</v>
      </c>
      <c r="H30" s="14" t="s">
        <v>3</v>
      </c>
      <c r="I30" s="1"/>
    </row>
    <row r="31" spans="1:9" x14ac:dyDescent="0.25">
      <c r="A31" s="1"/>
      <c r="B31" s="120" t="s">
        <v>67</v>
      </c>
      <c r="C31" s="121"/>
      <c r="D31" s="121"/>
      <c r="E31" s="121"/>
      <c r="F31" s="122"/>
      <c r="G31" s="23">
        <f>G29*'Fane 15. Nøgletal'!C24+G30*'Fane 15. Nøgletal'!C25</f>
        <v>497428.00003710052</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17127174.363049824</v>
      </c>
      <c r="H35" s="14" t="s">
        <v>3</v>
      </c>
      <c r="I35" s="1"/>
    </row>
    <row r="36" spans="1:9" x14ac:dyDescent="0.25">
      <c r="A36" s="1"/>
      <c r="B36" s="120" t="s">
        <v>251</v>
      </c>
      <c r="C36" s="121"/>
      <c r="D36" s="121"/>
      <c r="E36" s="121"/>
      <c r="F36" s="122"/>
      <c r="G36" s="63">
        <v>544841.23015407007</v>
      </c>
      <c r="H36" s="14" t="s">
        <v>3</v>
      </c>
      <c r="I36" s="1"/>
    </row>
    <row r="37" spans="1:9" x14ac:dyDescent="0.25">
      <c r="A37" s="1"/>
      <c r="B37" s="120" t="s">
        <v>131</v>
      </c>
      <c r="C37" s="121"/>
      <c r="D37" s="121"/>
      <c r="E37" s="121"/>
      <c r="F37" s="122"/>
      <c r="G37" s="23">
        <f>(G35+G36)*'Fane 15. Nøgletal'!C26</f>
        <v>261545.83077941765</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17467924.312640477</v>
      </c>
      <c r="H41" s="14" t="s">
        <v>3</v>
      </c>
      <c r="I41" s="1"/>
    </row>
    <row r="42" spans="1:9" x14ac:dyDescent="0.25">
      <c r="A42" s="1"/>
      <c r="B42" s="40" t="s">
        <v>156</v>
      </c>
      <c r="C42" s="79"/>
      <c r="D42" s="79"/>
      <c r="E42" s="79"/>
      <c r="F42" s="80"/>
      <c r="G42" s="23">
        <v>87812.554969440025</v>
      </c>
      <c r="H42" s="14" t="s">
        <v>3</v>
      </c>
      <c r="I42" s="1"/>
    </row>
    <row r="43" spans="1:9" x14ac:dyDescent="0.25">
      <c r="A43" s="1"/>
      <c r="B43" s="120" t="s">
        <v>132</v>
      </c>
      <c r="C43" s="121"/>
      <c r="D43" s="121"/>
      <c r="E43" s="121"/>
      <c r="F43" s="122"/>
      <c r="G43" s="23">
        <f>(G41)*'Fane 15. Nøgletal'!C26+G42*'Fane 15. Nøgletal'!C27</f>
        <v>258525.27982707907</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18694826.284075689</v>
      </c>
      <c r="H53" s="14" t="s">
        <v>3</v>
      </c>
      <c r="I53" s="1"/>
    </row>
    <row r="54" spans="1:9" x14ac:dyDescent="0.25">
      <c r="A54" s="1"/>
      <c r="B54" s="78" t="s">
        <v>195</v>
      </c>
      <c r="C54" s="79"/>
      <c r="D54" s="79"/>
      <c r="E54" s="79"/>
      <c r="F54" s="80"/>
      <c r="G54" s="66">
        <f>('Fane 2.1. Økonomisk ramme 2024'!C11+'Fane 2.1. Økonomisk ramme 2024'!C13+'Fane 2.1. Økonomisk ramme 2024'!C15)*(1+'Fane 15. Nøgletal'!C16)</f>
        <v>0</v>
      </c>
      <c r="H54" s="14" t="s">
        <v>3</v>
      </c>
      <c r="I54" s="1"/>
    </row>
    <row r="55" spans="1:9" x14ac:dyDescent="0.25">
      <c r="A55" s="1"/>
      <c r="B55" s="120" t="s">
        <v>218</v>
      </c>
      <c r="C55" s="121"/>
      <c r="D55" s="121"/>
      <c r="E55" s="121"/>
      <c r="F55" s="122"/>
      <c r="G55" s="66">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20205368.247829005</v>
      </c>
      <c r="H59" s="14" t="s">
        <v>3</v>
      </c>
      <c r="I59" s="1"/>
    </row>
    <row r="60" spans="1:9" x14ac:dyDescent="0.25">
      <c r="A60" s="1"/>
      <c r="B60" s="120" t="s">
        <v>220</v>
      </c>
      <c r="C60" s="121"/>
      <c r="D60" s="121"/>
      <c r="E60" s="121"/>
      <c r="F60" s="122"/>
      <c r="G60" s="66">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21837962.002253588</v>
      </c>
      <c r="H64" s="14" t="s">
        <v>3</v>
      </c>
      <c r="I64" s="1"/>
    </row>
    <row r="65" spans="1:9" x14ac:dyDescent="0.25">
      <c r="A65" s="1"/>
      <c r="B65" s="120" t="s">
        <v>222</v>
      </c>
      <c r="C65" s="121"/>
      <c r="D65" s="121"/>
      <c r="E65" s="121"/>
      <c r="F65" s="122"/>
      <c r="G65" s="66">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23602469.332035679</v>
      </c>
      <c r="H69" s="14" t="s">
        <v>3</v>
      </c>
      <c r="I69" s="1"/>
    </row>
    <row r="70" spans="1:9" x14ac:dyDescent="0.25">
      <c r="A70" s="1"/>
      <c r="B70" s="120" t="s">
        <v>222</v>
      </c>
      <c r="C70" s="121"/>
      <c r="D70" s="121"/>
      <c r="E70" s="121"/>
      <c r="F70" s="122"/>
      <c r="G70" s="66">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DxLFpITPX8BXHG0oYus8et6TWjMDHv4Id3EhKy4AdvQjzkKqNWP8hL8u2s6ZSJZx+30mYYHIoqe/JaX17cK/YA==" saltValue="6ux6ujH4eQcyNWqatSQ/N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tW6o67pu4I5Jamnda3OWP8Tu3Hq49s1ZcfGpioGOwIxb9S/hY+BmrbyQ7aW9W2zCqwzv8veT72BWmKswvVea5g==" saltValue="M2u+1W19CAi0D7AVl5THp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2023-11-20T12:09:58Z</dcterms:modified>
</cp:coreProperties>
</file>