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STRUER ENERGI VAND AS (V174)\ØR2023\"/>
    </mc:Choice>
  </mc:AlternateContent>
  <bookViews>
    <workbookView xWindow="3105" yWindow="990" windowWidth="12735" windowHeight="4620" tabRatio="872" firstSheet="1" activeTab="1"/>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calcMode="manual"/>
</workbook>
</file>

<file path=xl/calcChain.xml><?xml version="1.0" encoding="utf-8"?>
<calcChain xmlns="http://schemas.openxmlformats.org/spreadsheetml/2006/main">
  <c r="G40" i="36" l="1"/>
  <c r="G40" i="30"/>
  <c r="G41" i="30" s="1"/>
  <c r="C13" i="19" l="1"/>
  <c r="C14" i="19" l="1"/>
  <c r="E34" i="27" l="1"/>
  <c r="C19" i="23"/>
  <c r="C19" i="22"/>
  <c r="C20" i="15"/>
  <c r="C32" i="2"/>
  <c r="G18" i="40" l="1"/>
  <c r="E26" i="32" l="1"/>
  <c r="E31" i="32" s="1"/>
  <c r="E33" i="32" s="1"/>
  <c r="C18" i="15" l="1"/>
  <c r="C30" i="2"/>
  <c r="J11" i="11" l="1"/>
  <c r="H11" i="11"/>
  <c r="C15" i="19" l="1"/>
  <c r="E11" i="29" l="1"/>
  <c r="E12" i="29" s="1"/>
  <c r="C11" i="29"/>
  <c r="C12" i="29" s="1"/>
  <c r="F10" i="11"/>
  <c r="C15" i="22"/>
  <c r="C16" i="15" l="1"/>
  <c r="C15" i="23"/>
  <c r="E35" i="27" l="1"/>
  <c r="E12" i="39" l="1"/>
  <c r="E13" i="39" s="1"/>
  <c r="C12" i="39"/>
  <c r="C13" i="39" s="1"/>
  <c r="C24"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2" i="37" s="1"/>
  <c r="C13" i="37" l="1"/>
  <c r="C10" i="2" s="1"/>
  <c r="C22" i="2"/>
  <c r="C14" i="2"/>
  <c r="C15" i="2"/>
  <c r="G46" i="30" l="1"/>
  <c r="G45" i="30"/>
  <c r="G47" i="30" l="1"/>
  <c r="G54" i="30" s="1"/>
  <c r="G39" i="30"/>
  <c r="E10" i="37"/>
  <c r="E12" i="37" s="1"/>
  <c r="E13" i="37" l="1"/>
  <c r="C11" i="2" s="1"/>
  <c r="G46" i="36" s="1"/>
  <c r="G55" i="30"/>
  <c r="G59" i="30" s="1"/>
  <c r="C18" i="2"/>
  <c r="G60" i="30" l="1"/>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1" i="15" s="1"/>
  <c r="C12" i="23"/>
  <c r="C14" i="15" l="1"/>
  <c r="C21" i="15" l="1"/>
  <c r="C8" i="22"/>
  <c r="C9" i="22" l="1"/>
  <c r="C10" i="22" s="1"/>
  <c r="C13" i="22" l="1"/>
  <c r="C20" i="22" s="1"/>
  <c r="C8" i="23" l="1"/>
  <c r="C9" i="23" s="1"/>
  <c r="C10" i="23" s="1"/>
  <c r="C13" i="23" l="1"/>
  <c r="C20" i="23" s="1"/>
</calcChain>
</file>

<file path=xl/sharedStrings.xml><?xml version="1.0" encoding="utf-8"?>
<sst xmlns="http://schemas.openxmlformats.org/spreadsheetml/2006/main" count="527" uniqueCount="263">
  <si>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</si>
  <si>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</si>
  <si>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</si>
  <si>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</si>
  <si>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</si>
  <si>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</si>
  <si>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</si>
  <si>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</si>
  <si>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</si>
  <si>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</si>
  <si>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</si>
  <si>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</si>
  <si>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</si>
  <si>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</si>
  <si>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</si>
  <si>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</si>
  <si>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</si>
  <si>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</si>
  <si>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</si>
  <si>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</si>
  <si>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</si>
  <si>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</si>
  <si>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</si>
  <si>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</si>
  <si>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</si>
  <si>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</si>
  <si>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</si>
  <si>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</si>
  <si>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</si>
  <si>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</si>
  <si>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</si>
  <si>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</si>
  <si>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</si>
  <si>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</si>
  <si>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</si>
  <si>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</si>
  <si>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</si>
  <si>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</si>
  <si>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</si>
  <si>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</si>
  <si>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</si>
  <si>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</si>
  <si>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</si>
  <si>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</si>
  <si>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</si>
  <si>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</si>
  <si>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</si>
  <si>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</si>
  <si>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</si>
  <si>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</si>
  <si>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</si>
  <si>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</si>
  <si>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</si>
  <si>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</si>
  <si>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</si>
  <si>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</si>
  <si>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</si>
  <si>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</si>
  <si>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</si>
  <si>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</si>
  <si>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</si>
  <si>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</si>
  <si>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</si>
  <si>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</si>
  <si>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</si>
  <si>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</si>
  <si>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</si>
  <si>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</si>
  <si>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</si>
  <si>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</si>
  <si>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</si>
  <si>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</si>
  <si>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</si>
  <si>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</si>
  <si>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</si>
  <si>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</si>
  <si>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</si>
  <si>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</si>
  <si>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</si>
  <si>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</si>
  <si>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</si>
  <si>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</si>
  <si>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</si>
  <si>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</si>
  <si>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</si>
  <si>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</si>
  <si>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</si>
  <si>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</si>
  <si>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</si>
  <si>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</si>
  <si>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</si>
  <si>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</si>
  <si>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</si>
  <si>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</si>
  <si>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</si>
  <si>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</si>
  <si>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</si>
  <si>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</si>
  <si>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</si>
  <si>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</si>
  <si>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</si>
  <si>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</si>
  <si>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</si>
  <si>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</si>
  <si>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</si>
  <si>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</si>
  <si>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</si>
  <si>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</si>
  <si>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</si>
  <si>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</si>
  <si>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</si>
  <si>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</si>
  <si>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</si>
  <si>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</si>
  <si>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</si>
  <si>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</si>
  <si>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</si>
  <si>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</si>
  <si>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</si>
  <si>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</si>
  <si>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</si>
  <si>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</si>
  <si>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</si>
  <si>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</si>
  <si>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</si>
  <si>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</si>
  <si>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</si>
  <si>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</si>
  <si>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</si>
  <si>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</si>
  <si>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</si>
  <si>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</si>
  <si>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</si>
  <si>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</si>
  <si>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</si>
  <si>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</si>
  <si>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</si>
  <si>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</si>
  <si>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</si>
  <si>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</si>
  <si>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</si>
  <si>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</si>
  <si>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</si>
  <si>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</si>
  <si>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</si>
  <si>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</si>
  <si>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</si>
  <si>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</si>
  <si>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</si>
  <si>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</si>
  <si>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</si>
  <si>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</si>
  <si>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</si>
  <si>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</si>
  <si>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</si>
  <si>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</si>
  <si>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</si>
  <si>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</si>
  <si>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</si>
  <si>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</si>
  <si>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</si>
  <si>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</si>
  <si>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</si>
  <si>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</si>
  <si>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</si>
  <si>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</si>
  <si>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</si>
  <si>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</si>
  <si>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</si>
  <si>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</si>
  <si>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</si>
  <si>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</si>
  <si>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</si>
  <si>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</si>
  <si>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</si>
  <si>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</si>
  <si>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</si>
  <si>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</si>
  <si>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</si>
  <si>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</si>
  <si>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</si>
  <si>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</si>
  <si>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</si>
  <si>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</si>
  <si>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</si>
  <si>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</si>
  <si>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</si>
  <si>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</si>
  <si>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</si>
  <si>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</si>
  <si>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</si>
  <si>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</si>
  <si>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</si>
  <si>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</si>
  <si>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</si>
  <si>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</si>
  <si>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</si>
  <si>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</si>
  <si>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</si>
  <si>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</si>
  <si>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</si>
  <si>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</si>
  <si>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</si>
  <si>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</si>
  <si>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</si>
  <si>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</si>
  <si>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</si>
  <si>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</si>
  <si>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</si>
  <si>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</si>
  <si>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</si>
  <si>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</si>
  <si>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</si>
  <si>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</si>
  <si>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</si>
  <si>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</si>
  <si>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</si>
  <si>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</si>
  <si>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</si>
  <si>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</si>
  <si>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</si>
  <si>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</si>
  <si>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</si>
  <si>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</si>
  <si>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</si>
  <si>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</si>
  <si>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</si>
  <si>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</si>
  <si>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</si>
  <si>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</si>
  <si>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</si>
  <si>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</si>
  <si>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</si>
  <si>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</si>
  <si>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</si>
  <si>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</si>
  <si>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</si>
  <si>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</si>
  <si>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</si>
  <si>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</si>
  <si>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Over/underdækning i 2018</t>
  </si>
  <si>
    <t>Korrigeret over/underdækning i 2018</t>
  </si>
  <si>
    <t>Faktiske indtægter i 2020</t>
  </si>
  <si>
    <t>Til indregning i de økonomiske rammer for 2023-2024</t>
  </si>
  <si>
    <t>Nye tillæg</t>
  </si>
  <si>
    <t>Ingen engangstillæg</t>
  </si>
  <si>
    <t>Ingen tilknyttet virksomhed under hovedvirksomheden</t>
  </si>
  <si>
    <t>Ingen bortfald eller nedsættelse</t>
  </si>
  <si>
    <t>Prisudvikling til brug for nye omkostninger i ØR2023</t>
  </si>
  <si>
    <t>Generelt effektiviseringskrav til brug for nye anlægsomkostninger i ØR2023</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</si>
  <si>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</si>
  <si>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</si>
  <si>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</si>
  <si>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</si>
  <si>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</si>
  <si>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</si>
  <si>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</si>
  <si>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</si>
  <si>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</si>
  <si>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</si>
  <si>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</si>
  <si>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</si>
  <si>
    <t>Fusion med Bremdahl Vandværk - afgift for ledningsført vand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</si>
</sst>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4" borderId="2" xfId="0" applyFont="1" applyFill="1" applyBorder="1" applyAlignment="1" applyProtection="1"/>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4" borderId="3" xfId="0" applyNumberFormat="1" applyFont="1" applyFill="1" applyBorder="1" applyAlignment="1" applyProtection="1">
      <alignment horizontal="right"/>
    </xf>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101" t="s">
        <v>200</v>
      </c>
      <c r="E8" s="101"/>
      <c r="F8" s="101"/>
      <c r="G8" s="101"/>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0" t="s">
        <v>5</v>
      </c>
      <c r="E11" s="100"/>
      <c r="F11" s="100"/>
      <c r="G11" s="100"/>
      <c r="H11" s="5"/>
      <c r="I11" s="1"/>
    </row>
    <row r="12" spans="1:9" x14ac:dyDescent="0.25">
      <c r="A12" s="1"/>
      <c r="B12" s="1"/>
      <c r="C12" s="1"/>
      <c r="D12" s="1"/>
      <c r="E12" s="1"/>
      <c r="F12" s="1"/>
      <c r="G12" s="1"/>
      <c r="H12" s="1"/>
      <c r="I12" s="1"/>
    </row>
    <row r="13" spans="1:9" x14ac:dyDescent="0.25">
      <c r="A13" s="1"/>
      <c r="B13" s="1"/>
      <c r="C13" s="6" t="s">
        <v>6</v>
      </c>
      <c r="D13" s="102" t="s">
        <v>169</v>
      </c>
      <c r="E13" s="103"/>
      <c r="F13" s="103"/>
      <c r="G13" s="104"/>
      <c r="H13" s="1"/>
      <c r="I13" s="1"/>
    </row>
    <row r="14" spans="1:9" x14ac:dyDescent="0.25">
      <c r="A14" s="1"/>
      <c r="B14" s="1"/>
      <c r="C14" s="6" t="s">
        <v>14</v>
      </c>
      <c r="D14" s="93" t="s">
        <v>202</v>
      </c>
      <c r="E14" s="94"/>
      <c r="F14" s="94"/>
      <c r="G14" s="95"/>
      <c r="H14" s="1"/>
      <c r="I14" s="1"/>
    </row>
    <row r="15" spans="1:9" x14ac:dyDescent="0.25">
      <c r="A15" s="1"/>
      <c r="B15" s="1"/>
      <c r="C15" s="6" t="s">
        <v>32</v>
      </c>
      <c r="D15" s="93" t="s">
        <v>144</v>
      </c>
      <c r="E15" s="94"/>
      <c r="F15" s="94"/>
      <c r="G15" s="95"/>
      <c r="H15" s="1"/>
      <c r="I15" s="1"/>
    </row>
    <row r="16" spans="1:9" x14ac:dyDescent="0.25">
      <c r="A16" s="1"/>
      <c r="B16" s="1"/>
      <c r="C16" s="6" t="s">
        <v>33</v>
      </c>
      <c r="D16" s="93" t="s">
        <v>170</v>
      </c>
      <c r="E16" s="94"/>
      <c r="F16" s="94"/>
      <c r="G16" s="95"/>
      <c r="H16" s="1"/>
      <c r="I16" s="1"/>
    </row>
    <row r="17" spans="1:9" x14ac:dyDescent="0.25">
      <c r="A17" s="1"/>
      <c r="B17" s="1"/>
      <c r="C17" s="6" t="s">
        <v>118</v>
      </c>
      <c r="D17" s="93" t="s">
        <v>171</v>
      </c>
      <c r="E17" s="94"/>
      <c r="F17" s="94"/>
      <c r="G17" s="95"/>
      <c r="H17" s="1"/>
      <c r="I17" s="1"/>
    </row>
    <row r="18" spans="1:9" x14ac:dyDescent="0.25">
      <c r="A18" s="1"/>
      <c r="B18" s="1"/>
      <c r="C18" s="6" t="s">
        <v>104</v>
      </c>
      <c r="D18" s="105" t="s">
        <v>91</v>
      </c>
      <c r="E18" s="106"/>
      <c r="F18" s="106"/>
      <c r="G18" s="107"/>
      <c r="H18" s="1"/>
      <c r="I18" s="1"/>
    </row>
    <row r="19" spans="1:9" x14ac:dyDescent="0.25">
      <c r="A19" s="1"/>
      <c r="B19" s="1"/>
      <c r="C19" s="6" t="s">
        <v>105</v>
      </c>
      <c r="D19" s="105" t="s">
        <v>92</v>
      </c>
      <c r="E19" s="106"/>
      <c r="F19" s="106"/>
      <c r="G19" s="107"/>
      <c r="H19" s="1"/>
      <c r="I19" s="1"/>
    </row>
    <row r="20" spans="1:9" x14ac:dyDescent="0.25">
      <c r="A20" s="1"/>
      <c r="B20" s="1"/>
      <c r="C20" s="6" t="s">
        <v>7</v>
      </c>
      <c r="D20" s="105" t="s">
        <v>9</v>
      </c>
      <c r="E20" s="106"/>
      <c r="F20" s="106"/>
      <c r="G20" s="107"/>
      <c r="H20" s="1"/>
      <c r="I20" s="1"/>
    </row>
    <row r="21" spans="1:9" x14ac:dyDescent="0.25">
      <c r="A21" s="1"/>
      <c r="B21" s="1"/>
      <c r="C21" s="6" t="s">
        <v>106</v>
      </c>
      <c r="D21" s="111" t="s">
        <v>11</v>
      </c>
      <c r="E21" s="112"/>
      <c r="F21" s="112"/>
      <c r="G21" s="113"/>
      <c r="H21" s="1"/>
      <c r="I21" s="1"/>
    </row>
    <row r="22" spans="1:9" x14ac:dyDescent="0.25">
      <c r="A22" s="1"/>
      <c r="B22" s="1"/>
      <c r="C22" s="6" t="s">
        <v>82</v>
      </c>
      <c r="D22" s="97" t="s">
        <v>172</v>
      </c>
      <c r="E22" s="98"/>
      <c r="F22" s="98"/>
      <c r="G22" s="99"/>
      <c r="H22" s="1"/>
      <c r="I22" s="1"/>
    </row>
    <row r="23" spans="1:9" x14ac:dyDescent="0.25">
      <c r="A23" s="1"/>
      <c r="B23" s="1"/>
      <c r="C23" s="6" t="s">
        <v>8</v>
      </c>
      <c r="D23" s="97" t="s">
        <v>225</v>
      </c>
      <c r="E23" s="98"/>
      <c r="F23" s="98"/>
      <c r="G23" s="99"/>
      <c r="H23" s="1"/>
      <c r="I23" s="1"/>
    </row>
    <row r="24" spans="1:9" x14ac:dyDescent="0.25">
      <c r="A24" s="1"/>
      <c r="B24" s="1"/>
      <c r="C24" s="6" t="s">
        <v>221</v>
      </c>
      <c r="D24" s="97" t="s">
        <v>212</v>
      </c>
      <c r="E24" s="98"/>
      <c r="F24" s="98"/>
      <c r="G24" s="99"/>
      <c r="H24" s="1"/>
      <c r="I24" s="1"/>
    </row>
    <row r="25" spans="1:9" x14ac:dyDescent="0.25">
      <c r="A25" s="1"/>
      <c r="B25" s="1"/>
      <c r="C25" s="6" t="s">
        <v>222</v>
      </c>
      <c r="D25" s="97" t="s">
        <v>83</v>
      </c>
      <c r="E25" s="98"/>
      <c r="F25" s="98"/>
      <c r="G25" s="99"/>
      <c r="H25" s="1"/>
      <c r="I25" s="1"/>
    </row>
    <row r="26" spans="1:9" x14ac:dyDescent="0.25">
      <c r="A26" s="1"/>
      <c r="B26" s="1"/>
      <c r="C26" s="6" t="s">
        <v>223</v>
      </c>
      <c r="D26" s="97" t="s">
        <v>84</v>
      </c>
      <c r="E26" s="98"/>
      <c r="F26" s="98"/>
      <c r="G26" s="99"/>
      <c r="H26" s="1"/>
      <c r="I26" s="1"/>
    </row>
    <row r="27" spans="1:9" x14ac:dyDescent="0.25">
      <c r="A27" s="1"/>
      <c r="B27" s="1"/>
      <c r="C27" s="6" t="s">
        <v>107</v>
      </c>
      <c r="D27" s="97" t="s">
        <v>121</v>
      </c>
      <c r="E27" s="98"/>
      <c r="F27" s="98"/>
      <c r="G27" s="99"/>
      <c r="H27" s="1"/>
      <c r="I27" s="1"/>
    </row>
    <row r="28" spans="1:9" x14ac:dyDescent="0.25">
      <c r="A28" s="1"/>
      <c r="B28" s="1"/>
      <c r="C28" s="6" t="s">
        <v>96</v>
      </c>
      <c r="D28" s="97" t="s">
        <v>34</v>
      </c>
      <c r="E28" s="98"/>
      <c r="F28" s="98"/>
      <c r="G28" s="99"/>
      <c r="H28" s="1"/>
      <c r="I28" s="1"/>
    </row>
    <row r="29" spans="1:9" x14ac:dyDescent="0.25">
      <c r="A29" s="1"/>
      <c r="B29" s="1"/>
      <c r="C29" s="6" t="s">
        <v>224</v>
      </c>
      <c r="D29" s="108" t="s">
        <v>97</v>
      </c>
      <c r="E29" s="109"/>
      <c r="F29" s="109"/>
      <c r="G29" s="11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0"/>
      <c r="B51" s="40"/>
      <c r="C51" s="40"/>
      <c r="D51" s="40"/>
      <c r="E51" s="40"/>
      <c r="F51" s="40"/>
      <c r="G51" s="40"/>
      <c r="H51" s="40"/>
      <c r="I51" s="40"/>
    </row>
  </sheetData>
  <sheetProtection algorithmName="SHA-512" hashValue="0AWA3A0dZXjc+imSRTdjvvE3pbzSJF1DZL+8eDuiDSiz/fMnxqU7PDhmoLz7iUzNOaBmXxo+/bDast0jK4v5aw==" saltValue="8eG4PKHPqSlGqpV8Wk50E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25388291517323774"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election activeCell="C14" sqref="C14"/>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103</v>
      </c>
      <c r="C3" s="114"/>
      <c r="D3" s="114"/>
      <c r="E3" s="1"/>
      <c r="F3" s="1"/>
    </row>
    <row r="4" spans="1:6" ht="15" customHeight="1" x14ac:dyDescent="0.25">
      <c r="A4" s="1"/>
      <c r="B4" s="114"/>
      <c r="C4" s="114"/>
      <c r="D4" s="11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9" t="s">
        <v>188</v>
      </c>
      <c r="C8" s="140"/>
      <c r="D8" s="142"/>
      <c r="E8" s="1"/>
      <c r="F8" s="1"/>
    </row>
    <row r="9" spans="1:6" ht="15" customHeight="1" x14ac:dyDescent="0.25">
      <c r="A9" s="1"/>
      <c r="B9" s="36" t="s">
        <v>30</v>
      </c>
      <c r="C9" s="11" t="s">
        <v>218</v>
      </c>
      <c r="D9" s="11"/>
      <c r="E9" s="1"/>
      <c r="F9" s="1"/>
    </row>
    <row r="10" spans="1:6" x14ac:dyDescent="0.25">
      <c r="A10" s="1"/>
      <c r="B10" s="78" t="s">
        <v>237</v>
      </c>
      <c r="C10" s="9">
        <v>6421056</v>
      </c>
      <c r="D10" s="14" t="s">
        <v>3</v>
      </c>
      <c r="E10" s="1"/>
      <c r="F10" s="1"/>
    </row>
    <row r="11" spans="1:6" x14ac:dyDescent="0.25">
      <c r="A11" s="1"/>
      <c r="B11" s="78" t="s">
        <v>238</v>
      </c>
      <c r="C11" s="9">
        <v>74947</v>
      </c>
      <c r="D11" s="14" t="s">
        <v>3</v>
      </c>
      <c r="E11" s="1"/>
      <c r="F11" s="1"/>
    </row>
    <row r="12" spans="1:6" x14ac:dyDescent="0.25">
      <c r="A12" s="1"/>
      <c r="B12" s="78" t="s">
        <v>239</v>
      </c>
      <c r="C12" s="9">
        <v>27485</v>
      </c>
      <c r="D12" s="14" t="s">
        <v>3</v>
      </c>
      <c r="E12" s="1"/>
      <c r="F12" s="1"/>
    </row>
    <row r="13" spans="1:6" ht="26.25" x14ac:dyDescent="0.25">
      <c r="A13" s="1"/>
      <c r="B13" s="92" t="s">
        <v>262</v>
      </c>
      <c r="C13" s="9">
        <f>485802*(1+'Fane 13. Nøgletal'!C13)</f>
        <v>491728.7844</v>
      </c>
      <c r="D13" s="14" t="s">
        <v>3</v>
      </c>
      <c r="E13" s="1"/>
      <c r="F13" s="1"/>
    </row>
    <row r="14" spans="1:6" x14ac:dyDescent="0.25">
      <c r="A14" s="1"/>
      <c r="B14" s="65" t="s">
        <v>189</v>
      </c>
      <c r="C14" s="12">
        <f>SUM(C10:C13)</f>
        <v>7015216.7844000002</v>
      </c>
      <c r="D14" s="13" t="s">
        <v>3</v>
      </c>
      <c r="E14" s="1"/>
      <c r="F14" s="1"/>
    </row>
    <row r="15" spans="1:6" x14ac:dyDescent="0.25">
      <c r="A15" s="1"/>
      <c r="B15" s="65" t="s">
        <v>190</v>
      </c>
      <c r="C15" s="12">
        <f>C14*(1+'Fane 13. Nøgletal'!C15)^2</f>
        <v>7523591.0245931577</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sheetData>
  <sheetProtection algorithmName="SHA-512" hashValue="28lBTCEh1YO9BfxokZ+wwe737tOZ/8G0uJQMZMV3A/gYB2MCKJpPNwmuCR/5xyMmsP/HtnpzmQ2wWoO0lUl3eg==" saltValue="a/36DR6X2UYNEuMAU5P0lw=="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showWhiteSpace="0" view="pageLayout" zoomScaleNormal="100" workbookViewId="0">
      <selection activeCell="A5" sqref="A5"/>
    </sheetView>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3" t="s">
        <v>191</v>
      </c>
      <c r="C3" s="133"/>
      <c r="D3" s="133"/>
      <c r="E3" s="133"/>
      <c r="F3" s="133"/>
      <c r="G3" s="1"/>
    </row>
    <row r="4" spans="1:7" ht="15" customHeight="1" x14ac:dyDescent="0.25">
      <c r="A4" s="1"/>
      <c r="B4" s="133"/>
      <c r="C4" s="133"/>
      <c r="D4" s="133"/>
      <c r="E4" s="133"/>
      <c r="F4" s="133"/>
      <c r="G4" s="1"/>
    </row>
    <row r="5" spans="1:7" ht="15" customHeight="1" x14ac:dyDescent="0.25">
      <c r="A5" s="1"/>
      <c r="B5" s="69"/>
      <c r="C5" s="69"/>
      <c r="D5" s="69"/>
      <c r="E5" s="69"/>
      <c r="F5" s="69"/>
      <c r="G5" s="1"/>
    </row>
    <row r="6" spans="1:7" ht="15" customHeight="1" x14ac:dyDescent="0.25">
      <c r="A6" s="1"/>
      <c r="B6" s="69"/>
      <c r="C6" s="69"/>
      <c r="D6" s="69"/>
      <c r="E6" s="69"/>
      <c r="F6" s="69"/>
      <c r="G6" s="1"/>
    </row>
    <row r="7" spans="1:7" x14ac:dyDescent="0.25">
      <c r="A7" s="1"/>
      <c r="B7" s="1"/>
      <c r="C7" s="1"/>
      <c r="D7" s="1"/>
      <c r="E7" s="1"/>
      <c r="F7" s="1"/>
      <c r="G7" s="1"/>
    </row>
    <row r="8" spans="1:7" x14ac:dyDescent="0.25">
      <c r="A8" s="1"/>
      <c r="B8" s="139" t="s">
        <v>163</v>
      </c>
      <c r="C8" s="140"/>
      <c r="D8" s="140"/>
      <c r="E8" s="140"/>
      <c r="F8" s="142"/>
      <c r="G8" s="1"/>
    </row>
    <row r="9" spans="1:7" x14ac:dyDescent="0.25">
      <c r="A9" s="1"/>
      <c r="B9" s="143" t="s">
        <v>240</v>
      </c>
      <c r="C9" s="144"/>
      <c r="D9" s="145"/>
      <c r="E9" s="9">
        <v>338354.7218590267</v>
      </c>
      <c r="F9" s="14" t="s">
        <v>3</v>
      </c>
      <c r="G9" s="1"/>
    </row>
    <row r="10" spans="1:7" x14ac:dyDescent="0.25">
      <c r="A10" s="1"/>
      <c r="B10" s="143" t="s">
        <v>241</v>
      </c>
      <c r="C10" s="144"/>
      <c r="D10" s="145"/>
      <c r="E10" s="9">
        <v>338354.7218590267</v>
      </c>
      <c r="F10" s="14" t="s">
        <v>3</v>
      </c>
      <c r="G10" s="1"/>
    </row>
    <row r="11" spans="1:7" x14ac:dyDescent="0.25">
      <c r="A11" s="1"/>
      <c r="B11" s="143" t="s">
        <v>164</v>
      </c>
      <c r="C11" s="144"/>
      <c r="D11" s="145"/>
      <c r="E11" s="9">
        <v>733406.76806853339</v>
      </c>
      <c r="F11" s="14" t="s">
        <v>3</v>
      </c>
      <c r="G11" s="1"/>
    </row>
    <row r="12" spans="1:7" x14ac:dyDescent="0.25">
      <c r="A12" s="1"/>
      <c r="B12" s="143" t="s">
        <v>192</v>
      </c>
      <c r="C12" s="144"/>
      <c r="D12" s="145"/>
      <c r="E12" s="9">
        <v>814503.68948671222</v>
      </c>
      <c r="F12" s="14" t="s">
        <v>3</v>
      </c>
      <c r="G12" s="1"/>
    </row>
    <row r="13" spans="1:7" x14ac:dyDescent="0.25">
      <c r="A13" s="1"/>
      <c r="B13" s="65"/>
      <c r="C13" s="66"/>
      <c r="D13" s="66"/>
      <c r="E13" s="66"/>
      <c r="F13" s="20"/>
      <c r="G13" s="1"/>
    </row>
    <row r="14" spans="1:7" ht="66.75" customHeight="1" x14ac:dyDescent="0.25">
      <c r="A14" s="1"/>
      <c r="B14" s="116" t="s">
        <v>258</v>
      </c>
      <c r="C14" s="117"/>
      <c r="D14" s="117"/>
      <c r="E14" s="117"/>
      <c r="F14" s="118"/>
      <c r="G14" s="1"/>
    </row>
    <row r="15" spans="1:7" ht="27" customHeight="1" x14ac:dyDescent="0.25">
      <c r="A15" s="1"/>
      <c r="B15" s="1"/>
      <c r="C15" s="1"/>
      <c r="D15" s="1"/>
      <c r="E15" s="1"/>
      <c r="F15" s="1"/>
      <c r="G15" s="1"/>
    </row>
    <row r="16" spans="1:7" ht="15.6" customHeight="1" x14ac:dyDescent="0.25">
      <c r="A16" s="1"/>
      <c r="B16" s="139" t="s">
        <v>165</v>
      </c>
      <c r="C16" s="140"/>
      <c r="D16" s="140"/>
      <c r="E16" s="140"/>
      <c r="F16" s="142"/>
      <c r="G16" s="1"/>
    </row>
    <row r="17" spans="1:7" x14ac:dyDescent="0.25">
      <c r="A17" s="1"/>
      <c r="B17" s="143" t="s">
        <v>166</v>
      </c>
      <c r="C17" s="144"/>
      <c r="D17" s="145"/>
      <c r="E17" s="9">
        <v>0</v>
      </c>
      <c r="F17" s="14" t="s">
        <v>3</v>
      </c>
      <c r="G17" s="1"/>
    </row>
    <row r="18" spans="1:7" x14ac:dyDescent="0.25">
      <c r="A18" s="1"/>
      <c r="B18" s="143" t="s">
        <v>167</v>
      </c>
      <c r="C18" s="144"/>
      <c r="D18" s="145"/>
      <c r="E18" s="9">
        <v>0</v>
      </c>
      <c r="F18" s="14" t="s">
        <v>3</v>
      </c>
      <c r="G18" s="1"/>
    </row>
    <row r="19" spans="1:7" x14ac:dyDescent="0.25">
      <c r="A19" s="1"/>
      <c r="B19" s="65"/>
      <c r="C19" s="66"/>
      <c r="D19" s="66"/>
      <c r="E19" s="66"/>
      <c r="F19" s="20"/>
      <c r="G19" s="1"/>
    </row>
    <row r="20" spans="1:7" ht="31.5" customHeight="1" x14ac:dyDescent="0.25">
      <c r="A20" s="1"/>
      <c r="B20" s="116" t="s">
        <v>259</v>
      </c>
      <c r="C20" s="117"/>
      <c r="D20" s="117"/>
      <c r="E20" s="117"/>
      <c r="F20" s="118"/>
      <c r="G20" s="1"/>
    </row>
    <row r="21" spans="1:7" ht="28.5" customHeight="1" x14ac:dyDescent="0.25">
      <c r="A21" s="1"/>
      <c r="B21" s="1"/>
      <c r="C21" s="1"/>
      <c r="D21" s="1"/>
      <c r="E21" s="1"/>
      <c r="F21" s="1"/>
      <c r="G21" s="1"/>
    </row>
    <row r="22" spans="1:7" ht="15" customHeight="1" x14ac:dyDescent="0.25">
      <c r="A22" s="1"/>
      <c r="B22" s="89" t="s">
        <v>193</v>
      </c>
      <c r="C22" s="90"/>
      <c r="D22" s="90"/>
      <c r="E22" s="90"/>
      <c r="F22" s="91"/>
      <c r="G22" s="1"/>
    </row>
    <row r="23" spans="1:7" x14ac:dyDescent="0.25">
      <c r="A23" s="1"/>
      <c r="B23" s="77" t="s">
        <v>194</v>
      </c>
      <c r="C23" s="75"/>
      <c r="D23" s="76"/>
      <c r="E23" s="9">
        <v>15204867.109793978</v>
      </c>
      <c r="F23" s="14" t="s">
        <v>3</v>
      </c>
      <c r="G23" s="1"/>
    </row>
    <row r="24" spans="1:7" x14ac:dyDescent="0.25">
      <c r="A24" s="1"/>
      <c r="B24" s="77" t="s">
        <v>242</v>
      </c>
      <c r="C24" s="75"/>
      <c r="D24" s="76"/>
      <c r="E24" s="9">
        <v>15854175</v>
      </c>
      <c r="F24" s="14" t="s">
        <v>3</v>
      </c>
      <c r="G24" s="1"/>
    </row>
    <row r="25" spans="1:7" x14ac:dyDescent="0.25">
      <c r="A25" s="1"/>
      <c r="B25" s="77" t="s">
        <v>31</v>
      </c>
      <c r="C25" s="75"/>
      <c r="D25" s="76"/>
      <c r="E25" s="9">
        <v>0</v>
      </c>
      <c r="F25" s="14" t="s">
        <v>3</v>
      </c>
      <c r="G25" s="1"/>
    </row>
    <row r="26" spans="1:7" x14ac:dyDescent="0.25">
      <c r="A26" s="1"/>
      <c r="B26" s="72" t="s">
        <v>260</v>
      </c>
      <c r="C26" s="73"/>
      <c r="D26" s="34"/>
      <c r="E26" s="59">
        <f>E23-(E24-E25)</f>
        <v>-649307.89020602219</v>
      </c>
      <c r="F26" s="17" t="s">
        <v>3</v>
      </c>
      <c r="G26" s="1"/>
    </row>
    <row r="27" spans="1:7" x14ac:dyDescent="0.25">
      <c r="A27" s="1"/>
      <c r="B27" s="65"/>
      <c r="C27" s="66"/>
      <c r="D27" s="66"/>
      <c r="E27" s="66"/>
      <c r="F27" s="20"/>
      <c r="G27" s="1"/>
    </row>
    <row r="28" spans="1:7" x14ac:dyDescent="0.25">
      <c r="A28" s="1"/>
      <c r="B28" s="1"/>
      <c r="C28" s="1"/>
      <c r="D28" s="1"/>
      <c r="E28" s="1"/>
      <c r="F28" s="1"/>
      <c r="G28" s="1"/>
    </row>
    <row r="29" spans="1:7" x14ac:dyDescent="0.25">
      <c r="A29" s="1"/>
      <c r="B29" s="1"/>
      <c r="C29" s="1"/>
      <c r="D29" s="1"/>
      <c r="E29" s="1"/>
      <c r="F29" s="1"/>
      <c r="G29" s="1"/>
    </row>
    <row r="30" spans="1:7" ht="18" customHeight="1" x14ac:dyDescent="0.25">
      <c r="A30" s="1"/>
      <c r="B30" s="139" t="s">
        <v>243</v>
      </c>
      <c r="C30" s="140"/>
      <c r="D30" s="140"/>
      <c r="E30" s="140"/>
      <c r="F30" s="142"/>
      <c r="G30" s="1"/>
    </row>
    <row r="31" spans="1:7" x14ac:dyDescent="0.25">
      <c r="A31" s="1"/>
      <c r="B31" s="149" t="s">
        <v>142</v>
      </c>
      <c r="C31" s="150"/>
      <c r="D31" s="151"/>
      <c r="E31" s="9">
        <f>IF(AND(E9&lt;0,SUM(E11,E12,E26)&gt;0),E10,IF(AND(E9&lt;0,SUM(E11,E12,E26)&lt;0),E10+SUM(E11,E12,E26),IF(AND(E9&gt;0,SUM(E10,E11,E12,E26)&gt;0),0,IF(AND(E9&gt;0,SUM(E10,E11,E12,E26)&lt;0),SUM(E10,E11,E12,E26),"Fejl"))))</f>
        <v>0</v>
      </c>
      <c r="F31" s="14" t="s">
        <v>3</v>
      </c>
      <c r="G31" s="1"/>
    </row>
    <row r="32" spans="1:7" x14ac:dyDescent="0.25">
      <c r="A32" s="1"/>
      <c r="B32" s="149" t="s">
        <v>98</v>
      </c>
      <c r="C32" s="150"/>
      <c r="D32" s="151"/>
      <c r="E32" s="9">
        <v>2</v>
      </c>
      <c r="F32" s="14" t="s">
        <v>18</v>
      </c>
      <c r="G32" s="1"/>
    </row>
    <row r="33" spans="1:7" x14ac:dyDescent="0.25">
      <c r="A33" s="1"/>
      <c r="B33" s="157" t="s">
        <v>168</v>
      </c>
      <c r="C33" s="157"/>
      <c r="D33" s="157"/>
      <c r="E33" s="10">
        <f>E31/E32</f>
        <v>0</v>
      </c>
      <c r="F33" s="17" t="s">
        <v>3</v>
      </c>
      <c r="G33" s="1"/>
    </row>
    <row r="34" spans="1:7" x14ac:dyDescent="0.25">
      <c r="A34" s="1"/>
      <c r="B34" s="154"/>
      <c r="C34" s="155"/>
      <c r="D34" s="155"/>
      <c r="E34" s="155"/>
      <c r="F34" s="1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40"/>
      <c r="C40" s="40"/>
      <c r="D40" s="40"/>
      <c r="E40" s="40"/>
      <c r="F40" s="40"/>
    </row>
    <row r="41" spans="1:7" x14ac:dyDescent="0.25">
      <c r="A41" s="40"/>
      <c r="B41" s="40"/>
      <c r="C41" s="40"/>
      <c r="D41" s="40"/>
      <c r="E41" s="40"/>
      <c r="F41" s="40"/>
      <c r="G41" s="40"/>
    </row>
    <row r="42" spans="1:7" x14ac:dyDescent="0.25">
      <c r="A42" s="40"/>
      <c r="B42" s="40"/>
      <c r="C42" s="40"/>
      <c r="D42" s="40"/>
      <c r="E42" s="40"/>
      <c r="F42" s="40"/>
      <c r="G42" s="40"/>
    </row>
    <row r="43" spans="1:7" x14ac:dyDescent="0.25">
      <c r="A43" s="40"/>
      <c r="B43" s="40"/>
      <c r="C43" s="40"/>
      <c r="D43" s="40"/>
      <c r="E43" s="40"/>
      <c r="F43" s="40"/>
      <c r="G43" s="40"/>
    </row>
    <row r="44" spans="1:7" x14ac:dyDescent="0.25">
      <c r="A44" s="40"/>
      <c r="B44" s="40"/>
      <c r="C44" s="40"/>
      <c r="D44" s="40"/>
      <c r="E44" s="40"/>
      <c r="F44" s="40"/>
      <c r="G44" s="40"/>
    </row>
  </sheetData>
  <sheetProtection algorithmName="SHA-512" hashValue="fdambVKOzrwfmDOPYeNQbr2lucBmFZr1/POLRbBo0E7zw8YeRc/9g0qn8VfWhJEMxHDgIdiomImubqgyloa7cg==" saltValue="QJZnDq+/KiHfkCFkVmqanA==" spinCount="100000" sheet="1" objects="1" scenarios="1"/>
  <mergeCells count="16">
    <mergeCell ref="B34:F34"/>
    <mergeCell ref="B10:D10"/>
    <mergeCell ref="B14:F14"/>
    <mergeCell ref="B18:D18"/>
    <mergeCell ref="B32:D32"/>
    <mergeCell ref="B33:D33"/>
    <mergeCell ref="B11:D11"/>
    <mergeCell ref="B12:D12"/>
    <mergeCell ref="B16:F16"/>
    <mergeCell ref="B20:F20"/>
    <mergeCell ref="B30:F30"/>
    <mergeCell ref="B3:F4"/>
    <mergeCell ref="B17:D17"/>
    <mergeCell ref="B9:D9"/>
    <mergeCell ref="B8:F8"/>
    <mergeCell ref="B31:D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44"/>
  <sheetViews>
    <sheetView view="pageLayout" topLeftCell="A4" zoomScaleNormal="100" workbookViewId="0">
      <selection activeCell="E38" sqref="E38"/>
    </sheetView>
  </sheetViews>
  <sheetFormatPr defaultColWidth="9.140625" defaultRowHeight="15" x14ac:dyDescent="0.25"/>
  <cols>
    <col min="1" max="1" width="4.7109375" style="57" customWidth="1"/>
    <col min="2" max="2" width="22.5703125" style="57" customWidth="1"/>
    <col min="3" max="3" width="8.28515625" style="57" customWidth="1"/>
    <col min="4" max="6" width="10.7109375" style="57" customWidth="1"/>
    <col min="7" max="7" width="11.140625" style="57" customWidth="1"/>
    <col min="8" max="8" width="3.28515625" style="57" customWidth="1"/>
    <col min="9" max="9" width="4.85546875" style="57" customWidth="1"/>
    <col min="10" max="16384" width="9.140625" style="5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4" t="s">
        <v>232</v>
      </c>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9" t="s">
        <v>233</v>
      </c>
      <c r="C8" s="140"/>
      <c r="D8" s="140"/>
      <c r="E8" s="140"/>
      <c r="F8" s="140"/>
      <c r="G8" s="140"/>
      <c r="H8" s="142"/>
      <c r="I8" s="1"/>
    </row>
    <row r="9" spans="1:9" ht="15" customHeight="1" x14ac:dyDescent="0.25">
      <c r="A9" s="1"/>
      <c r="B9" s="161" t="s">
        <v>234</v>
      </c>
      <c r="C9" s="162"/>
      <c r="D9" s="162"/>
      <c r="E9" s="162"/>
      <c r="F9" s="162"/>
      <c r="G9" s="162"/>
      <c r="H9" s="163"/>
      <c r="I9" s="1"/>
    </row>
    <row r="10" spans="1:9" x14ac:dyDescent="0.25">
      <c r="A10" s="1"/>
      <c r="B10" s="158" t="s">
        <v>250</v>
      </c>
      <c r="C10" s="159"/>
      <c r="D10" s="159"/>
      <c r="E10" s="159"/>
      <c r="F10" s="160"/>
      <c r="G10" s="60">
        <v>0</v>
      </c>
      <c r="H10" s="9" t="s">
        <v>3</v>
      </c>
      <c r="I10" s="1"/>
    </row>
    <row r="11" spans="1:9" x14ac:dyDescent="0.25">
      <c r="A11" s="1"/>
      <c r="B11" s="158" t="s">
        <v>251</v>
      </c>
      <c r="C11" s="159"/>
      <c r="D11" s="159"/>
      <c r="E11" s="159"/>
      <c r="F11" s="160"/>
      <c r="G11" s="60">
        <v>0</v>
      </c>
      <c r="H11" s="9" t="s">
        <v>3</v>
      </c>
      <c r="I11" s="1"/>
    </row>
    <row r="12" spans="1:9" x14ac:dyDescent="0.25">
      <c r="A12" s="1"/>
      <c r="B12" s="158" t="s">
        <v>252</v>
      </c>
      <c r="C12" s="159"/>
      <c r="D12" s="159"/>
      <c r="E12" s="159"/>
      <c r="F12" s="160"/>
      <c r="G12" s="9">
        <v>0</v>
      </c>
      <c r="H12" s="9" t="s">
        <v>3</v>
      </c>
      <c r="I12" s="1"/>
    </row>
    <row r="13" spans="1:9" x14ac:dyDescent="0.25">
      <c r="A13" s="1"/>
      <c r="B13" s="158" t="s">
        <v>253</v>
      </c>
      <c r="C13" s="159"/>
      <c r="D13" s="159"/>
      <c r="E13" s="159"/>
      <c r="F13" s="160"/>
      <c r="G13" s="9">
        <v>0</v>
      </c>
      <c r="H13" s="9" t="s">
        <v>3</v>
      </c>
      <c r="I13" s="1"/>
    </row>
    <row r="14" spans="1:9" x14ac:dyDescent="0.25">
      <c r="A14" s="1"/>
      <c r="B14" s="158" t="s">
        <v>254</v>
      </c>
      <c r="C14" s="159"/>
      <c r="D14" s="159"/>
      <c r="E14" s="159"/>
      <c r="F14" s="160"/>
      <c r="G14" s="9">
        <v>0</v>
      </c>
      <c r="H14" s="9" t="s">
        <v>3</v>
      </c>
      <c r="I14" s="1"/>
    </row>
    <row r="15" spans="1:9" x14ac:dyDescent="0.25">
      <c r="A15" s="1"/>
      <c r="B15" s="158" t="s">
        <v>255</v>
      </c>
      <c r="C15" s="159"/>
      <c r="D15" s="159"/>
      <c r="E15" s="159"/>
      <c r="F15" s="160"/>
      <c r="G15" s="9">
        <v>0</v>
      </c>
      <c r="H15" s="9" t="s">
        <v>3</v>
      </c>
      <c r="I15" s="1"/>
    </row>
    <row r="16" spans="1:9" x14ac:dyDescent="0.25">
      <c r="A16" s="1"/>
      <c r="B16" s="158" t="s">
        <v>256</v>
      </c>
      <c r="C16" s="159"/>
      <c r="D16" s="159"/>
      <c r="E16" s="159"/>
      <c r="F16" s="160"/>
      <c r="G16" s="9">
        <v>0</v>
      </c>
      <c r="H16" s="9" t="s">
        <v>3</v>
      </c>
      <c r="I16" s="1"/>
    </row>
    <row r="17" spans="1:9" x14ac:dyDescent="0.25">
      <c r="A17" s="1"/>
      <c r="B17" s="158" t="s">
        <v>257</v>
      </c>
      <c r="C17" s="159"/>
      <c r="D17" s="159"/>
      <c r="E17" s="159"/>
      <c r="F17" s="160"/>
      <c r="G17" s="9">
        <v>0</v>
      </c>
      <c r="H17" s="9" t="s">
        <v>3</v>
      </c>
      <c r="I17" s="1"/>
    </row>
    <row r="18" spans="1:9" x14ac:dyDescent="0.25">
      <c r="A18" s="1"/>
      <c r="B18" s="65" t="s">
        <v>235</v>
      </c>
      <c r="C18" s="5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RwshvHLVACP+vuGPVHRcPD6c5Qs+nvVNsO50Jv8D+gPveDvXvs1wvAx4Li8qQ3vTxKv5xL5MKXuZtAjqjdhJIQ==" saltValue="kXEa2vRz3JC3zWWK/+f5Lw==" spinCount="100000" sheet="1" objects="1" scenarios="1"/>
  <mergeCells count="11">
    <mergeCell ref="B3:H4"/>
    <mergeCell ref="B8:H8"/>
    <mergeCell ref="B9:H9"/>
    <mergeCell ref="B10:F10"/>
    <mergeCell ref="B11:F11"/>
    <mergeCell ref="B17:F17"/>
    <mergeCell ref="B12:F12"/>
    <mergeCell ref="B13:F13"/>
    <mergeCell ref="B14:F14"/>
    <mergeCell ref="B15:F15"/>
    <mergeCell ref="B16:F1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52"/>
  <sheetViews>
    <sheetView showGridLines="0" view="pageLayout" topLeftCell="A22" zoomScaleNormal="100" workbookViewId="0"/>
  </sheetViews>
  <sheetFormatPr defaultColWidth="9.140625" defaultRowHeight="15" x14ac:dyDescent="0.25"/>
  <cols>
    <col min="1" max="1" width="4.7109375" style="2" customWidth="1"/>
    <col min="2" max="2" width="24.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3"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4" t="s">
        <v>226</v>
      </c>
      <c r="C3" s="114"/>
      <c r="D3" s="114"/>
      <c r="E3" s="114"/>
      <c r="F3" s="114"/>
      <c r="G3" s="114"/>
      <c r="H3" s="114"/>
      <c r="I3" s="114"/>
      <c r="J3" s="114"/>
      <c r="K3" s="114"/>
      <c r="L3" s="1"/>
    </row>
    <row r="4" spans="1:12" ht="15" customHeight="1" x14ac:dyDescent="0.25">
      <c r="A4" s="1"/>
      <c r="B4" s="114"/>
      <c r="C4" s="114"/>
      <c r="D4" s="114"/>
      <c r="E4" s="114"/>
      <c r="F4" s="114"/>
      <c r="G4" s="114"/>
      <c r="H4" s="114"/>
      <c r="I4" s="114"/>
      <c r="J4" s="114"/>
      <c r="K4" s="11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9" t="s">
        <v>198</v>
      </c>
      <c r="C8" s="140"/>
      <c r="D8" s="140"/>
      <c r="E8" s="140"/>
      <c r="F8" s="140"/>
      <c r="G8" s="140"/>
      <c r="H8" s="140"/>
      <c r="I8" s="140"/>
      <c r="J8" s="140"/>
      <c r="K8" s="142"/>
      <c r="L8" s="1"/>
    </row>
    <row r="9" spans="1:12" ht="39.75" customHeight="1" x14ac:dyDescent="0.25">
      <c r="A9" s="1"/>
      <c r="B9" s="19" t="s">
        <v>0</v>
      </c>
      <c r="C9" s="19" t="s">
        <v>1</v>
      </c>
      <c r="D9" s="164" t="s">
        <v>219</v>
      </c>
      <c r="E9" s="165"/>
      <c r="F9" s="164" t="s">
        <v>2</v>
      </c>
      <c r="G9" s="165"/>
      <c r="H9" s="164" t="s">
        <v>220</v>
      </c>
      <c r="I9" s="165"/>
      <c r="J9" s="164" t="s">
        <v>28</v>
      </c>
      <c r="K9" s="165"/>
      <c r="L9" s="1"/>
    </row>
    <row r="10" spans="1:12" x14ac:dyDescent="0.25">
      <c r="A10" s="1"/>
      <c r="B10" s="88" t="s">
        <v>236</v>
      </c>
      <c r="C10" s="38">
        <v>0</v>
      </c>
      <c r="D10" s="9">
        <v>0</v>
      </c>
      <c r="E10" s="14" t="s">
        <v>3</v>
      </c>
      <c r="F10" s="9">
        <f t="shared" ref="F10" si="0">IFERROR(D10/C10,0)</f>
        <v>0</v>
      </c>
      <c r="G10" s="14" t="s">
        <v>3</v>
      </c>
      <c r="H10" s="9">
        <v>0</v>
      </c>
      <c r="I10" s="14" t="s">
        <v>3</v>
      </c>
      <c r="J10" s="9">
        <v>0</v>
      </c>
      <c r="K10" s="14" t="s">
        <v>3</v>
      </c>
      <c r="L10" s="1"/>
    </row>
    <row r="11" spans="1:12" x14ac:dyDescent="0.25">
      <c r="A11" s="1"/>
      <c r="B11" s="139" t="s">
        <v>199</v>
      </c>
      <c r="C11" s="140"/>
      <c r="D11" s="140"/>
      <c r="E11" s="142"/>
      <c r="F11" s="12">
        <f>SUM(F10:F10)</f>
        <v>0</v>
      </c>
      <c r="G11" s="84" t="s">
        <v>3</v>
      </c>
      <c r="H11" s="12">
        <f>SUM(H10:H10)</f>
        <v>0</v>
      </c>
      <c r="I11" s="84"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40"/>
      <c r="B47" s="40"/>
      <c r="C47" s="40"/>
      <c r="D47" s="40"/>
      <c r="E47" s="40"/>
      <c r="F47" s="40"/>
      <c r="G47" s="40"/>
      <c r="H47" s="40"/>
      <c r="I47" s="40"/>
      <c r="J47" s="40"/>
      <c r="K47" s="40"/>
      <c r="L47" s="40"/>
    </row>
    <row r="48" spans="1:12" x14ac:dyDescent="0.25">
      <c r="A48" s="40"/>
      <c r="B48" s="40"/>
      <c r="C48" s="40"/>
      <c r="D48" s="40"/>
      <c r="E48" s="40"/>
      <c r="F48" s="40"/>
      <c r="G48" s="40"/>
      <c r="H48" s="40"/>
      <c r="I48" s="40"/>
      <c r="J48" s="40"/>
      <c r="K48" s="40"/>
      <c r="L48" s="40"/>
    </row>
    <row r="49" spans="1:12" x14ac:dyDescent="0.25">
      <c r="A49" s="40"/>
      <c r="B49" s="40"/>
      <c r="C49" s="40"/>
      <c r="D49" s="40"/>
      <c r="E49" s="40"/>
      <c r="F49" s="40"/>
      <c r="G49" s="40"/>
      <c r="H49" s="40"/>
      <c r="I49" s="40"/>
      <c r="J49" s="40"/>
      <c r="K49" s="40"/>
      <c r="L49" s="40"/>
    </row>
    <row r="50" spans="1:12" x14ac:dyDescent="0.25">
      <c r="A50" s="40"/>
      <c r="B50" s="40"/>
      <c r="C50" s="40"/>
      <c r="D50" s="40"/>
      <c r="E50" s="40"/>
      <c r="F50" s="40"/>
      <c r="G50" s="40"/>
      <c r="H50" s="40"/>
      <c r="I50" s="40"/>
      <c r="J50" s="40"/>
      <c r="K50" s="40"/>
      <c r="L50" s="40"/>
    </row>
    <row r="51" spans="1:12" x14ac:dyDescent="0.25">
      <c r="A51" s="40"/>
      <c r="B51" s="40"/>
      <c r="C51" s="40"/>
      <c r="D51" s="40"/>
      <c r="E51" s="40"/>
      <c r="F51" s="40"/>
      <c r="G51" s="40"/>
      <c r="H51" s="40"/>
      <c r="I51" s="40"/>
      <c r="J51" s="40"/>
      <c r="K51" s="40"/>
      <c r="L51" s="40"/>
    </row>
    <row r="52" spans="1:12" x14ac:dyDescent="0.25">
      <c r="A52" s="40"/>
      <c r="B52" s="40"/>
      <c r="C52" s="40"/>
      <c r="D52" s="40"/>
      <c r="E52" s="40"/>
      <c r="F52" s="40"/>
      <c r="G52" s="40"/>
      <c r="H52" s="40"/>
      <c r="I52" s="40"/>
      <c r="J52" s="40"/>
      <c r="K52" s="40"/>
      <c r="L52" s="40"/>
    </row>
  </sheetData>
  <sheetProtection algorithmName="SHA-512" hashValue="R2yb6qNBa8YdMC2cCetRHTV2rL7VFpr2jBMEWI8E0yhsfAVr1lIOaItZxVdwrmRNyVYUI2Il0X5Ncozw1Ybdqw==" saltValue="E/zXemZibmZ8sX0qH3WdBA=="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227</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79</v>
      </c>
      <c r="C8" s="66"/>
      <c r="D8" s="66"/>
      <c r="E8" s="66"/>
      <c r="F8" s="20"/>
      <c r="G8" s="1"/>
    </row>
    <row r="9" spans="1:7" ht="17.25" customHeight="1" x14ac:dyDescent="0.25">
      <c r="A9" s="1"/>
      <c r="B9" s="80" t="s">
        <v>15</v>
      </c>
      <c r="C9" s="80" t="s">
        <v>10</v>
      </c>
      <c r="D9" s="81"/>
      <c r="E9" s="80" t="s">
        <v>29</v>
      </c>
      <c r="F9" s="68"/>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244</v>
      </c>
      <c r="C11" s="22">
        <v>0</v>
      </c>
      <c r="D11" s="14" t="s">
        <v>3</v>
      </c>
      <c r="E11" s="9">
        <v>0</v>
      </c>
      <c r="F11" s="14" t="s">
        <v>3</v>
      </c>
      <c r="G11" s="1"/>
    </row>
    <row r="12" spans="1:7" x14ac:dyDescent="0.25">
      <c r="A12" s="1"/>
      <c r="B12" s="65" t="s">
        <v>155</v>
      </c>
      <c r="C12" s="12">
        <f>SUM(C10:C11)</f>
        <v>0</v>
      </c>
      <c r="D12" s="13" t="s">
        <v>3</v>
      </c>
      <c r="E12" s="12">
        <f>SUM(E10:E11)</f>
        <v>0</v>
      </c>
      <c r="F12" s="13" t="s">
        <v>3</v>
      </c>
      <c r="G12" s="1"/>
    </row>
    <row r="13" spans="1:7" x14ac:dyDescent="0.25">
      <c r="A13" s="1"/>
      <c r="B13" s="65" t="s">
        <v>195</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lat3utJ9IT76YCEfMNaLg8W9f/wb8I87m5RPDoIg8SNuuCc1/VILpiwcoeVnpG0yugQPlCMDNG6Fniq9KqNMJw==" saltValue="iz9TXD1hbbvbuHaNYJC/dQ=="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228</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39" t="s">
        <v>93</v>
      </c>
      <c r="C9" s="140"/>
      <c r="D9" s="140"/>
      <c r="E9" s="140"/>
      <c r="F9" s="142"/>
      <c r="G9" s="1"/>
    </row>
    <row r="10" spans="1:7" x14ac:dyDescent="0.25">
      <c r="A10" s="1"/>
      <c r="B10" s="80" t="s">
        <v>15</v>
      </c>
      <c r="C10" s="80" t="s">
        <v>10</v>
      </c>
      <c r="D10" s="81"/>
      <c r="E10" s="80" t="s">
        <v>29</v>
      </c>
      <c r="F10" s="68"/>
      <c r="G10" s="1"/>
    </row>
    <row r="11" spans="1:7" x14ac:dyDescent="0.25">
      <c r="A11" s="1"/>
      <c r="B11" s="24" t="s">
        <v>245</v>
      </c>
      <c r="C11" s="22">
        <v>0</v>
      </c>
      <c r="D11" s="14" t="s">
        <v>3</v>
      </c>
      <c r="E11" s="22">
        <v>0</v>
      </c>
      <c r="F11" s="14" t="s">
        <v>3</v>
      </c>
      <c r="G11" s="1"/>
    </row>
    <row r="12" spans="1:7" x14ac:dyDescent="0.25">
      <c r="A12" s="1"/>
      <c r="B12" s="65" t="s">
        <v>201</v>
      </c>
      <c r="C12" s="12">
        <f>SUM(C11:C11)</f>
        <v>0</v>
      </c>
      <c r="D12" s="13" t="s">
        <v>3</v>
      </c>
      <c r="E12" s="12">
        <f>SUM(E11:E11)</f>
        <v>0</v>
      </c>
      <c r="F12" s="13" t="s">
        <v>3</v>
      </c>
      <c r="G12" s="1"/>
    </row>
    <row r="13" spans="1:7" x14ac:dyDescent="0.25">
      <c r="A13" s="1"/>
      <c r="B13" s="65"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66"/>
      <c r="C15" s="166"/>
      <c r="D15" s="166"/>
      <c r="E15" s="166"/>
      <c r="F15" s="166"/>
      <c r="G15" s="1"/>
    </row>
    <row r="16" spans="1:7" x14ac:dyDescent="0.25">
      <c r="A16" s="1"/>
      <c r="B16" s="48"/>
      <c r="C16" s="48"/>
      <c r="D16" s="48"/>
      <c r="E16" s="48"/>
      <c r="F16" s="49"/>
      <c r="G16" s="1"/>
    </row>
    <row r="17" spans="1:7" x14ac:dyDescent="0.25">
      <c r="A17" s="1"/>
      <c r="B17" s="50"/>
      <c r="C17" s="51"/>
      <c r="D17" s="52"/>
      <c r="E17" s="51"/>
      <c r="F17" s="52"/>
      <c r="G17" s="1"/>
    </row>
    <row r="18" spans="1:7" x14ac:dyDescent="0.25">
      <c r="A18" s="1"/>
      <c r="B18" s="50"/>
      <c r="C18" s="51"/>
      <c r="D18" s="52"/>
      <c r="E18" s="53"/>
      <c r="F18" s="52"/>
      <c r="G18" s="1"/>
    </row>
    <row r="19" spans="1:7" x14ac:dyDescent="0.25">
      <c r="A19" s="1"/>
      <c r="B19" s="54"/>
      <c r="C19" s="55"/>
      <c r="D19" s="56"/>
      <c r="E19" s="55"/>
      <c r="F19" s="56"/>
      <c r="G19" s="1"/>
    </row>
    <row r="20" spans="1:7" x14ac:dyDescent="0.25">
      <c r="A20" s="1"/>
      <c r="B20" s="54"/>
      <c r="C20" s="55"/>
      <c r="D20" s="56"/>
      <c r="E20" s="55"/>
      <c r="F20" s="56"/>
      <c r="G20" s="1"/>
    </row>
    <row r="21" spans="1:7" x14ac:dyDescent="0.25">
      <c r="A21" s="1"/>
      <c r="B21" s="47"/>
      <c r="C21" s="47"/>
      <c r="D21" s="47"/>
      <c r="E21" s="47"/>
      <c r="F21" s="47"/>
      <c r="G21" s="1"/>
    </row>
    <row r="22" spans="1:7" x14ac:dyDescent="0.25">
      <c r="A22" s="1"/>
      <c r="B22" s="166"/>
      <c r="C22" s="166"/>
      <c r="D22" s="166"/>
      <c r="E22" s="166"/>
      <c r="F22" s="166"/>
      <c r="G22" s="1"/>
    </row>
    <row r="23" spans="1:7" x14ac:dyDescent="0.25">
      <c r="A23" s="1"/>
      <c r="B23" s="48"/>
      <c r="C23" s="48"/>
      <c r="D23" s="48"/>
      <c r="E23" s="48"/>
      <c r="F23" s="49"/>
      <c r="G23" s="1"/>
    </row>
    <row r="24" spans="1:7" x14ac:dyDescent="0.25">
      <c r="A24" s="1"/>
      <c r="B24" s="50"/>
      <c r="C24" s="51"/>
      <c r="D24" s="52"/>
      <c r="E24" s="51"/>
      <c r="F24" s="52"/>
      <c r="G24" s="1"/>
    </row>
    <row r="25" spans="1:7" x14ac:dyDescent="0.25">
      <c r="A25" s="1"/>
      <c r="B25" s="50"/>
      <c r="C25" s="51"/>
      <c r="D25" s="52"/>
      <c r="E25" s="53"/>
      <c r="F25" s="52"/>
      <c r="G25" s="1"/>
    </row>
    <row r="26" spans="1:7" x14ac:dyDescent="0.25">
      <c r="A26" s="1"/>
      <c r="B26" s="54"/>
      <c r="C26" s="55"/>
      <c r="D26" s="56"/>
      <c r="E26" s="55"/>
      <c r="F26" s="56"/>
      <c r="G26" s="1"/>
    </row>
    <row r="27" spans="1:7" x14ac:dyDescent="0.25">
      <c r="A27" s="1"/>
      <c r="B27" s="54"/>
      <c r="C27" s="55"/>
      <c r="D27" s="56"/>
      <c r="E27" s="55"/>
      <c r="F27" s="56"/>
      <c r="G27" s="1"/>
    </row>
    <row r="28" spans="1:7" x14ac:dyDescent="0.25">
      <c r="A28" s="1"/>
      <c r="B28" s="47"/>
      <c r="C28" s="47"/>
      <c r="D28" s="47"/>
      <c r="E28" s="47"/>
      <c r="F28" s="47"/>
      <c r="G28" s="1"/>
    </row>
    <row r="29" spans="1:7" x14ac:dyDescent="0.25">
      <c r="A29" s="1"/>
      <c r="B29" s="166"/>
      <c r="C29" s="166"/>
      <c r="D29" s="166"/>
      <c r="E29" s="166"/>
      <c r="F29" s="166"/>
      <c r="G29" s="1"/>
    </row>
    <row r="30" spans="1:7" x14ac:dyDescent="0.25">
      <c r="A30" s="1"/>
      <c r="B30" s="48"/>
      <c r="C30" s="48"/>
      <c r="D30" s="48"/>
      <c r="E30" s="48"/>
      <c r="F30" s="49"/>
      <c r="G30" s="1"/>
    </row>
    <row r="31" spans="1:7" x14ac:dyDescent="0.25">
      <c r="A31" s="1"/>
      <c r="B31" s="50"/>
      <c r="C31" s="51"/>
      <c r="D31" s="52"/>
      <c r="E31" s="51"/>
      <c r="F31" s="52"/>
      <c r="G31" s="1"/>
    </row>
    <row r="32" spans="1:7" x14ac:dyDescent="0.25">
      <c r="A32" s="1"/>
      <c r="B32" s="50"/>
      <c r="C32" s="51"/>
      <c r="D32" s="52"/>
      <c r="E32" s="53"/>
      <c r="F32" s="52"/>
      <c r="G32" s="1"/>
    </row>
    <row r="33" spans="1:7" x14ac:dyDescent="0.25">
      <c r="A33" s="1"/>
      <c r="B33" s="54"/>
      <c r="C33" s="55"/>
      <c r="D33" s="56"/>
      <c r="E33" s="55"/>
      <c r="F33" s="56"/>
      <c r="G33" s="1"/>
    </row>
    <row r="34" spans="1:7" x14ac:dyDescent="0.25">
      <c r="A34" s="1"/>
      <c r="B34" s="54"/>
      <c r="C34" s="55"/>
      <c r="D34" s="56"/>
      <c r="E34" s="55"/>
      <c r="F34" s="5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aa22YrmJb1Tmg5SdDiyh7holDW4aQdIxMX5TRLLTx/MmnwF/HNUQgDyUc6yspQMbdRh7FdYZcDYYwhk98JXuHA==" saltValue="T/OIMVZ+TEZdmyqOnvJN8g=="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4"/>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229</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9" t="s">
        <v>127</v>
      </c>
      <c r="C8" s="140"/>
      <c r="D8" s="140"/>
      <c r="E8" s="140"/>
      <c r="F8" s="142"/>
      <c r="G8" s="1"/>
    </row>
    <row r="9" spans="1:7" ht="15" customHeight="1" x14ac:dyDescent="0.25">
      <c r="A9" s="1"/>
      <c r="B9" s="67" t="s">
        <v>128</v>
      </c>
      <c r="C9" s="161" t="s">
        <v>10</v>
      </c>
      <c r="D9" s="163"/>
      <c r="E9" s="161" t="s">
        <v>29</v>
      </c>
      <c r="F9" s="163"/>
      <c r="G9" s="1"/>
    </row>
    <row r="10" spans="1:7" x14ac:dyDescent="0.25">
      <c r="A10" s="1"/>
      <c r="B10" s="24" t="s">
        <v>246</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OKyr7WwpGJSGRJF//DHCJUEWVaLbor4ITFLNKg0yWquxU9JWNoViqegMZ7tHSuZzRNHffDnzytrRcsWsVYfXAw==" saltValue="GBlvfIhXafatCeV7NLcLd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230</v>
      </c>
      <c r="C3" s="133"/>
      <c r="D3" s="133"/>
      <c r="E3" s="133"/>
      <c r="F3" s="133"/>
      <c r="G3" s="1"/>
    </row>
    <row r="4" spans="1:7" ht="25.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9" t="s">
        <v>90</v>
      </c>
      <c r="C9" s="140"/>
      <c r="D9" s="140"/>
      <c r="E9" s="140"/>
      <c r="F9" s="142"/>
      <c r="G9" s="1"/>
    </row>
    <row r="10" spans="1:7" ht="26.25" x14ac:dyDescent="0.25">
      <c r="A10" s="1"/>
      <c r="B10" s="67" t="s">
        <v>16</v>
      </c>
      <c r="C10" s="67" t="s">
        <v>10</v>
      </c>
      <c r="D10" s="68"/>
      <c r="E10" s="67" t="s">
        <v>29</v>
      </c>
      <c r="F10" s="68"/>
      <c r="G10" s="1"/>
    </row>
    <row r="11" spans="1:7" x14ac:dyDescent="0.25">
      <c r="A11" s="1"/>
      <c r="B11" s="24" t="s">
        <v>247</v>
      </c>
      <c r="C11" s="9">
        <v>0</v>
      </c>
      <c r="D11" s="14" t="s">
        <v>3</v>
      </c>
      <c r="E11" s="9">
        <v>0</v>
      </c>
      <c r="F11" s="14" t="s">
        <v>3</v>
      </c>
      <c r="G11" s="1"/>
    </row>
    <row r="12" spans="1:7" x14ac:dyDescent="0.25">
      <c r="A12" s="1"/>
      <c r="B12" s="65" t="s">
        <v>87</v>
      </c>
      <c r="C12" s="12">
        <f>SUM(C11:C11)</f>
        <v>0</v>
      </c>
      <c r="D12" s="13" t="s">
        <v>3</v>
      </c>
      <c r="E12" s="12">
        <f>SUM(E11:E11)</f>
        <v>0</v>
      </c>
      <c r="F12" s="13" t="s">
        <v>3</v>
      </c>
      <c r="G12" s="1"/>
    </row>
    <row r="13" spans="1:7" x14ac:dyDescent="0.25">
      <c r="A13" s="1"/>
      <c r="B13" s="65"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66"/>
      <c r="C15" s="166"/>
      <c r="D15" s="166"/>
      <c r="E15" s="166"/>
      <c r="F15" s="166"/>
      <c r="G15" s="1"/>
    </row>
    <row r="16" spans="1:7" x14ac:dyDescent="0.25">
      <c r="A16" s="1"/>
      <c r="B16" s="49"/>
      <c r="C16" s="49"/>
      <c r="D16" s="49"/>
      <c r="E16" s="49"/>
      <c r="F16" s="49"/>
      <c r="G16" s="1"/>
    </row>
    <row r="17" spans="1:7" x14ac:dyDescent="0.25">
      <c r="A17" s="1"/>
      <c r="B17" s="50"/>
      <c r="C17" s="53"/>
      <c r="D17" s="52"/>
      <c r="E17" s="53"/>
      <c r="F17" s="52"/>
      <c r="G17" s="1"/>
    </row>
    <row r="18" spans="1:7" x14ac:dyDescent="0.25">
      <c r="A18" s="1"/>
      <c r="B18" s="54"/>
      <c r="C18" s="55"/>
      <c r="D18" s="56"/>
      <c r="E18" s="55"/>
      <c r="F18" s="56"/>
      <c r="G18" s="1"/>
    </row>
    <row r="19" spans="1:7" x14ac:dyDescent="0.25">
      <c r="A19" s="1"/>
      <c r="B19" s="54"/>
      <c r="C19" s="55"/>
      <c r="D19" s="56"/>
      <c r="E19" s="55"/>
      <c r="F19" s="56"/>
      <c r="G19" s="1"/>
    </row>
    <row r="20" spans="1:7" x14ac:dyDescent="0.25">
      <c r="A20" s="1"/>
      <c r="B20" s="47"/>
      <c r="C20" s="47"/>
      <c r="D20" s="47"/>
      <c r="E20" s="47"/>
      <c r="F20" s="47"/>
      <c r="G20" s="1"/>
    </row>
    <row r="21" spans="1:7" x14ac:dyDescent="0.25">
      <c r="A21" s="1"/>
      <c r="B21" s="166"/>
      <c r="C21" s="166"/>
      <c r="D21" s="166"/>
      <c r="E21" s="166"/>
      <c r="F21" s="166"/>
      <c r="G21" s="1"/>
    </row>
    <row r="22" spans="1:7" x14ac:dyDescent="0.25">
      <c r="A22" s="1"/>
      <c r="B22" s="49"/>
      <c r="C22" s="49"/>
      <c r="D22" s="49"/>
      <c r="E22" s="49"/>
      <c r="F22" s="49"/>
      <c r="G22" s="1"/>
    </row>
    <row r="23" spans="1:7" x14ac:dyDescent="0.25">
      <c r="A23" s="1"/>
      <c r="B23" s="50"/>
      <c r="C23" s="53"/>
      <c r="D23" s="52"/>
      <c r="E23" s="53"/>
      <c r="F23" s="52"/>
      <c r="G23" s="1"/>
    </row>
    <row r="24" spans="1:7" x14ac:dyDescent="0.25">
      <c r="A24" s="1"/>
      <c r="B24" s="54"/>
      <c r="C24" s="55"/>
      <c r="D24" s="56"/>
      <c r="E24" s="55"/>
      <c r="F24" s="56"/>
      <c r="G24" s="1"/>
    </row>
    <row r="25" spans="1:7" x14ac:dyDescent="0.25">
      <c r="A25" s="1"/>
      <c r="B25" s="54"/>
      <c r="C25" s="55"/>
      <c r="D25" s="56"/>
      <c r="E25" s="55"/>
      <c r="F25" s="56"/>
      <c r="G25" s="1"/>
    </row>
    <row r="26" spans="1:7" x14ac:dyDescent="0.25">
      <c r="A26" s="1"/>
      <c r="B26" s="47"/>
      <c r="C26" s="47"/>
      <c r="D26" s="47"/>
      <c r="E26" s="47"/>
      <c r="F26" s="47"/>
      <c r="G26" s="1"/>
    </row>
    <row r="27" spans="1:7" x14ac:dyDescent="0.25">
      <c r="A27" s="1"/>
      <c r="B27" s="166"/>
      <c r="C27" s="166"/>
      <c r="D27" s="166"/>
      <c r="E27" s="166"/>
      <c r="F27" s="166"/>
      <c r="G27" s="1"/>
    </row>
    <row r="28" spans="1:7" x14ac:dyDescent="0.25">
      <c r="A28" s="1"/>
      <c r="B28" s="49"/>
      <c r="C28" s="49"/>
      <c r="D28" s="49"/>
      <c r="E28" s="49"/>
      <c r="F28" s="49"/>
      <c r="G28" s="1"/>
    </row>
    <row r="29" spans="1:7" x14ac:dyDescent="0.25">
      <c r="A29" s="1"/>
      <c r="B29" s="50"/>
      <c r="C29" s="53"/>
      <c r="D29" s="52"/>
      <c r="E29" s="53"/>
      <c r="F29" s="52"/>
      <c r="G29" s="1"/>
    </row>
    <row r="30" spans="1:7" x14ac:dyDescent="0.25">
      <c r="A30" s="1"/>
      <c r="B30" s="54"/>
      <c r="C30" s="55"/>
      <c r="D30" s="56"/>
      <c r="E30" s="55"/>
      <c r="F30" s="56"/>
      <c r="G30" s="1"/>
    </row>
    <row r="31" spans="1:7" x14ac:dyDescent="0.25">
      <c r="A31" s="1"/>
      <c r="B31" s="54"/>
      <c r="C31" s="55"/>
      <c r="D31" s="56"/>
      <c r="E31" s="55"/>
      <c r="F31" s="56"/>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5ElOeStg5zzKjC5eoWxuy52Fp3utzwacns5XHXHZuTclmygmbqFee1fgR7SPeWSrTOeuqpb1XOMcVx2k+L56mQ==" saltValue="rm4vJOFPdcRHZNuTALF4W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election activeCell="B13" sqref="B13"/>
    </sheetView>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3" t="s">
        <v>231</v>
      </c>
      <c r="C3" s="133"/>
      <c r="D3" s="1"/>
    </row>
    <row r="4" spans="1:4" ht="25.5" customHeight="1" x14ac:dyDescent="0.25">
      <c r="A4" s="1"/>
      <c r="B4" s="133"/>
      <c r="C4" s="13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20"/>
      <c r="D8" s="1"/>
    </row>
    <row r="9" spans="1:4" x14ac:dyDescent="0.25">
      <c r="A9" s="1"/>
      <c r="B9" s="78" t="s">
        <v>108</v>
      </c>
      <c r="C9" s="25">
        <v>1.2699999999999999E-2</v>
      </c>
      <c r="D9" s="1"/>
    </row>
    <row r="10" spans="1:4" x14ac:dyDescent="0.25">
      <c r="A10" s="1"/>
      <c r="B10" s="78" t="s">
        <v>21</v>
      </c>
      <c r="C10" s="25">
        <v>1.7500000000000002E-2</v>
      </c>
      <c r="D10" s="1"/>
    </row>
    <row r="11" spans="1:4" x14ac:dyDescent="0.25">
      <c r="A11" s="1"/>
      <c r="B11" s="78"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248</v>
      </c>
      <c r="C15" s="27">
        <v>3.56E-2</v>
      </c>
      <c r="D15" s="1"/>
    </row>
    <row r="16" spans="1:4" x14ac:dyDescent="0.25">
      <c r="A16" s="1"/>
      <c r="B16" s="65"/>
      <c r="C16" s="20"/>
      <c r="D16" s="1"/>
    </row>
    <row r="17" spans="1:4" x14ac:dyDescent="0.25">
      <c r="A17" s="1"/>
      <c r="B17" s="1"/>
      <c r="C17" s="1"/>
      <c r="D17" s="1"/>
    </row>
    <row r="18" spans="1:4" x14ac:dyDescent="0.25">
      <c r="A18" s="1"/>
      <c r="B18" s="1"/>
      <c r="C18" s="1"/>
      <c r="D18" s="1"/>
    </row>
    <row r="19" spans="1:4" x14ac:dyDescent="0.25">
      <c r="A19" s="1"/>
      <c r="B19" s="65" t="s">
        <v>94</v>
      </c>
      <c r="C19" s="20"/>
      <c r="D19" s="1"/>
    </row>
    <row r="20" spans="1:4" x14ac:dyDescent="0.25">
      <c r="A20" s="1"/>
      <c r="B20" s="78" t="s">
        <v>110</v>
      </c>
      <c r="C20" s="23">
        <v>9.1000000000000004E-3</v>
      </c>
      <c r="D20" s="1"/>
    </row>
    <row r="21" spans="1:4" x14ac:dyDescent="0.25">
      <c r="A21" s="1"/>
      <c r="B21" s="78" t="s">
        <v>111</v>
      </c>
      <c r="C21" s="23">
        <v>1.77E-2</v>
      </c>
      <c r="D21" s="1"/>
    </row>
    <row r="22" spans="1:4" x14ac:dyDescent="0.25">
      <c r="A22" s="1"/>
      <c r="B22" s="78" t="s">
        <v>113</v>
      </c>
      <c r="C22" s="23">
        <v>8.6999999999999994E-3</v>
      </c>
      <c r="D22" s="1"/>
    </row>
    <row r="23" spans="1:4" x14ac:dyDescent="0.25">
      <c r="A23" s="1"/>
      <c r="B23" s="78" t="s">
        <v>112</v>
      </c>
      <c r="C23" s="28">
        <v>2.8400000000000002E-2</v>
      </c>
      <c r="D23" s="1"/>
    </row>
    <row r="24" spans="1:4" x14ac:dyDescent="0.25">
      <c r="A24" s="1"/>
      <c r="B24" s="78" t="s">
        <v>130</v>
      </c>
      <c r="C24" s="28">
        <v>2.75E-2</v>
      </c>
      <c r="D24" s="1"/>
    </row>
    <row r="25" spans="1:4" x14ac:dyDescent="0.25">
      <c r="A25" s="1"/>
      <c r="B25" s="78" t="s">
        <v>158</v>
      </c>
      <c r="C25" s="28">
        <v>1.4800000000000001E-2</v>
      </c>
      <c r="D25" s="1"/>
    </row>
    <row r="26" spans="1:4" x14ac:dyDescent="0.25">
      <c r="A26" s="1"/>
      <c r="B26" s="26" t="s">
        <v>249</v>
      </c>
      <c r="C26" s="27">
        <v>0</v>
      </c>
      <c r="D26" s="1"/>
    </row>
    <row r="27" spans="1:4" x14ac:dyDescent="0.25">
      <c r="A27" s="1"/>
      <c r="B27" s="65"/>
      <c r="C27" s="65"/>
      <c r="D27" s="1"/>
    </row>
    <row r="28" spans="1:4" x14ac:dyDescent="0.25">
      <c r="A28" s="1"/>
      <c r="B28" s="1"/>
      <c r="C28" s="1"/>
      <c r="D28" s="1"/>
    </row>
    <row r="29" spans="1:4" x14ac:dyDescent="0.25">
      <c r="A29" s="1"/>
      <c r="B29" s="1"/>
      <c r="C29" s="1"/>
      <c r="D29" s="1"/>
    </row>
    <row r="30" spans="1:4" x14ac:dyDescent="0.25">
      <c r="A30" s="1"/>
      <c r="B30" s="65" t="s">
        <v>95</v>
      </c>
      <c r="C30" s="20"/>
      <c r="D30" s="1"/>
    </row>
    <row r="31" spans="1:4" x14ac:dyDescent="0.25">
      <c r="A31" s="1"/>
      <c r="B31" s="78" t="s">
        <v>114</v>
      </c>
      <c r="C31" s="25">
        <v>0.02</v>
      </c>
      <c r="D31" s="1"/>
    </row>
    <row r="32" spans="1:4" x14ac:dyDescent="0.25">
      <c r="A32" s="1"/>
      <c r="B32" s="65"/>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0"/>
      <c r="B50" s="40"/>
      <c r="C50" s="40"/>
      <c r="D50" s="40"/>
    </row>
    <row r="51" spans="1:4" x14ac:dyDescent="0.25">
      <c r="A51" s="40"/>
      <c r="B51" s="40"/>
      <c r="C51" s="40"/>
      <c r="D51" s="40"/>
    </row>
    <row r="52" spans="1:4" x14ac:dyDescent="0.25">
      <c r="A52" s="40"/>
      <c r="B52" s="40"/>
      <c r="C52" s="40"/>
      <c r="D52" s="40"/>
    </row>
    <row r="53" spans="1:4" x14ac:dyDescent="0.25">
      <c r="A53" s="40"/>
      <c r="B53" s="40"/>
      <c r="C53" s="40"/>
      <c r="D53" s="40"/>
    </row>
  </sheetData>
  <sheetProtection algorithmName="SHA-512" hashValue="/z/XRD8BIDruuRyUwq72DhM7XE7v9h4cXLvWfpUisWugFwvRqyydOUkZHaiUEzNkFwXpGSdhhKyaCNXKwSPIDA==" saltValue="O3r1bDpd0i4VZK6Iy/OpIg=="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tabSelected="1" view="pageLayout" zoomScaleNormal="100" workbookViewId="0">
      <selection activeCell="C19" sqref="C19"/>
    </sheetView>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173</v>
      </c>
      <c r="C3" s="114"/>
      <c r="D3" s="114"/>
      <c r="E3" s="1"/>
    </row>
    <row r="4" spans="1:5" ht="15" customHeight="1"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64" t="s">
        <v>124</v>
      </c>
      <c r="C9" s="7">
        <f>'Fane 3. Omkostninger i ØR2022'!E24</f>
        <v>10270603.153085245</v>
      </c>
      <c r="D9" s="8" t="s">
        <v>3</v>
      </c>
      <c r="E9" s="1"/>
    </row>
    <row r="10" spans="1:5" ht="17.100000000000001" customHeight="1" x14ac:dyDescent="0.25">
      <c r="A10" s="1"/>
      <c r="B10" s="71" t="s">
        <v>35</v>
      </c>
      <c r="C10" s="7">
        <f>'Fane 10.1. Varige tillæg'!C13</f>
        <v>0</v>
      </c>
      <c r="D10" s="8" t="s">
        <v>3</v>
      </c>
      <c r="E10" s="1"/>
    </row>
    <row r="11" spans="1:5" ht="17.100000000000001" customHeight="1" x14ac:dyDescent="0.25">
      <c r="A11" s="1"/>
      <c r="B11" s="71" t="s">
        <v>36</v>
      </c>
      <c r="C11" s="9">
        <f>'Fane 10.1. Varige tillæg'!E13</f>
        <v>0</v>
      </c>
      <c r="D11" s="8" t="s">
        <v>3</v>
      </c>
      <c r="E11" s="1"/>
    </row>
    <row r="12" spans="1:5" ht="17.100000000000001" customHeight="1" x14ac:dyDescent="0.25">
      <c r="A12" s="1"/>
      <c r="B12" s="71" t="s">
        <v>26</v>
      </c>
      <c r="C12" s="9">
        <f>-'Fane 12. Bortfald'!C13</f>
        <v>0</v>
      </c>
      <c r="D12" s="8" t="s">
        <v>3</v>
      </c>
      <c r="E12" s="1"/>
    </row>
    <row r="13" spans="1:5" ht="17.100000000000001" customHeight="1" x14ac:dyDescent="0.25">
      <c r="A13" s="1"/>
      <c r="B13" s="71" t="s">
        <v>25</v>
      </c>
      <c r="C13" s="9">
        <f>-'Fane 12. Bortfald'!E13</f>
        <v>0</v>
      </c>
      <c r="D13" s="8" t="s">
        <v>3</v>
      </c>
      <c r="E13" s="1"/>
    </row>
    <row r="14" spans="1:5" ht="17.100000000000001" customHeight="1" x14ac:dyDescent="0.25">
      <c r="A14" s="1"/>
      <c r="B14" s="71" t="s">
        <v>122</v>
      </c>
      <c r="C14" s="9">
        <f>'Fane 11. Tilknyttet virksomhed'!C12</f>
        <v>0</v>
      </c>
      <c r="D14" s="8" t="s">
        <v>3</v>
      </c>
      <c r="E14" s="1"/>
    </row>
    <row r="15" spans="1:5" ht="17.100000000000001" customHeight="1" x14ac:dyDescent="0.25">
      <c r="A15" s="1"/>
      <c r="B15" s="71" t="s">
        <v>123</v>
      </c>
      <c r="C15" s="9">
        <f>'Fane 11. Tilknyttet virksomhed'!E12</f>
        <v>0</v>
      </c>
      <c r="D15" s="8" t="s">
        <v>3</v>
      </c>
      <c r="E15" s="1"/>
    </row>
    <row r="16" spans="1:5" ht="17.100000000000001" customHeight="1" x14ac:dyDescent="0.25">
      <c r="A16" s="1"/>
      <c r="B16" s="71" t="s">
        <v>17</v>
      </c>
      <c r="C16" s="9">
        <f>SUM(C9:C15)*'Fane 13. Nøgletal'!C15</f>
        <v>365633.47224983474</v>
      </c>
      <c r="D16" s="8" t="s">
        <v>3</v>
      </c>
      <c r="E16" s="1"/>
    </row>
    <row r="17" spans="1:5" ht="17.100000000000001" customHeight="1" x14ac:dyDescent="0.25">
      <c r="A17" s="1"/>
      <c r="B17" s="71" t="s">
        <v>9</v>
      </c>
      <c r="C17" s="9">
        <f>-SUM(C9,C10:C16)*'Fane 5. Individuelt eff. krav'!G9</f>
        <v>0</v>
      </c>
      <c r="D17" s="8" t="s">
        <v>3</v>
      </c>
      <c r="E17" s="1"/>
    </row>
    <row r="18" spans="1:5" ht="17.100000000000001" customHeight="1" x14ac:dyDescent="0.25">
      <c r="A18" s="1"/>
      <c r="B18" s="71" t="s">
        <v>23</v>
      </c>
      <c r="C18" s="9">
        <f>-'Fane 4.1. Gen. krav - drift'!G47</f>
        <v>-81271.639154504825</v>
      </c>
      <c r="D18" s="8" t="s">
        <v>3</v>
      </c>
      <c r="E18" s="1"/>
    </row>
    <row r="19" spans="1:5" ht="17.100000000000001" customHeight="1" x14ac:dyDescent="0.25">
      <c r="A19" s="1"/>
      <c r="B19" s="71" t="s">
        <v>24</v>
      </c>
      <c r="C19" s="9">
        <f>-'Fane 4.2. Gen. krav - anlæg'!G47</f>
        <v>0</v>
      </c>
      <c r="D19" s="8" t="s">
        <v>3</v>
      </c>
      <c r="E19" s="1"/>
    </row>
    <row r="20" spans="1:5" ht="17.100000000000001" customHeight="1" x14ac:dyDescent="0.25">
      <c r="A20" s="1"/>
      <c r="B20" s="72" t="s">
        <v>19</v>
      </c>
      <c r="C20" s="10">
        <f>SUM(C9,C10:C19)</f>
        <v>10554964.986180574</v>
      </c>
      <c r="D20" s="11" t="s">
        <v>3</v>
      </c>
      <c r="E20" s="1"/>
    </row>
    <row r="21" spans="1:5" ht="15" customHeight="1" x14ac:dyDescent="0.25">
      <c r="A21" s="1"/>
      <c r="B21" s="65" t="s">
        <v>11</v>
      </c>
      <c r="C21" s="66"/>
      <c r="D21" s="20"/>
      <c r="E21" s="1"/>
    </row>
    <row r="22" spans="1:5" ht="15" customHeight="1" x14ac:dyDescent="0.25">
      <c r="A22" s="1"/>
      <c r="B22" s="67" t="s">
        <v>11</v>
      </c>
      <c r="C22" s="10">
        <f>'Fane 6. Ikke-påvirkelige omk.'!C15</f>
        <v>7523591.0245931577</v>
      </c>
      <c r="D22" s="11" t="s">
        <v>3</v>
      </c>
      <c r="E22" s="1"/>
    </row>
    <row r="23" spans="1:5" ht="15" customHeight="1" x14ac:dyDescent="0.25">
      <c r="A23" s="1"/>
      <c r="B23" s="65" t="s">
        <v>84</v>
      </c>
      <c r="C23" s="66"/>
      <c r="D23" s="20"/>
      <c r="E23" s="1"/>
    </row>
    <row r="24" spans="1:5" ht="15" customHeight="1" x14ac:dyDescent="0.25">
      <c r="A24" s="1"/>
      <c r="B24" s="71" t="s">
        <v>80</v>
      </c>
      <c r="C24" s="9">
        <f>'Fane 10.2. Engangstillæg'!C13</f>
        <v>0</v>
      </c>
      <c r="D24" s="8" t="s">
        <v>3</v>
      </c>
      <c r="E24" s="1"/>
    </row>
    <row r="25" spans="1:5" ht="15" customHeight="1" x14ac:dyDescent="0.25">
      <c r="A25" s="1"/>
      <c r="B25" s="71" t="s">
        <v>81</v>
      </c>
      <c r="C25" s="9">
        <f>'Fane 10.2. Engangstillæg'!E13</f>
        <v>0</v>
      </c>
      <c r="D25" s="8" t="s">
        <v>3</v>
      </c>
      <c r="E25" s="1"/>
    </row>
    <row r="26" spans="1:5" ht="15" customHeight="1" x14ac:dyDescent="0.25">
      <c r="A26" s="1"/>
      <c r="B26" s="71" t="s">
        <v>213</v>
      </c>
      <c r="C26" s="9">
        <f>-C24*('Fane 5. Individuelt eff. krav'!G9+'Fane 13. Nøgletal'!C31)</f>
        <v>0</v>
      </c>
      <c r="D26" s="8" t="s">
        <v>3</v>
      </c>
      <c r="E26" s="1"/>
    </row>
    <row r="27" spans="1:5" ht="15" customHeight="1" x14ac:dyDescent="0.25">
      <c r="A27" s="1"/>
      <c r="B27" s="39" t="s">
        <v>214</v>
      </c>
      <c r="C27" s="9">
        <f>-C25*('Fane 5. Individuelt eff. krav'!G9+'Fane 13. Nøgletal'!C26)</f>
        <v>0</v>
      </c>
      <c r="D27" s="8" t="s">
        <v>3</v>
      </c>
      <c r="E27" s="1"/>
    </row>
    <row r="28" spans="1:5" x14ac:dyDescent="0.25">
      <c r="A28" s="1"/>
      <c r="B28" s="72" t="s">
        <v>85</v>
      </c>
      <c r="C28" s="10">
        <f>SUM(C24:C27)</f>
        <v>0</v>
      </c>
      <c r="D28" s="11" t="s">
        <v>3</v>
      </c>
      <c r="E28" s="1"/>
    </row>
    <row r="29" spans="1:5" x14ac:dyDescent="0.25">
      <c r="A29" s="1"/>
      <c r="B29" s="29" t="s">
        <v>142</v>
      </c>
      <c r="C29" s="66"/>
      <c r="D29" s="20"/>
      <c r="E29" s="1"/>
    </row>
    <row r="30" spans="1:5" x14ac:dyDescent="0.25">
      <c r="A30" s="1"/>
      <c r="B30" s="79" t="s">
        <v>143</v>
      </c>
      <c r="C30" s="10">
        <f>'Fane 7. Kontrol af ØR2021'!E33</f>
        <v>0</v>
      </c>
      <c r="D30" s="11" t="s">
        <v>3</v>
      </c>
      <c r="E30" s="1"/>
    </row>
    <row r="31" spans="1:5" x14ac:dyDescent="0.25">
      <c r="A31" s="1"/>
      <c r="B31" s="29" t="s">
        <v>161</v>
      </c>
      <c r="C31" s="66"/>
      <c r="D31" s="20"/>
      <c r="E31" s="1"/>
    </row>
    <row r="32" spans="1:5" x14ac:dyDescent="0.25">
      <c r="A32" s="1"/>
      <c r="B32" s="79" t="s">
        <v>162</v>
      </c>
      <c r="C32" s="10">
        <f>'Fane 8. Skattesagen'!G12</f>
        <v>0</v>
      </c>
      <c r="D32" s="11" t="s">
        <v>3</v>
      </c>
      <c r="E32" s="1" t="s">
        <v>197</v>
      </c>
    </row>
    <row r="33" spans="1:5" x14ac:dyDescent="0.25">
      <c r="A33" s="1"/>
      <c r="B33" s="65" t="s">
        <v>89</v>
      </c>
      <c r="C33" s="12">
        <f>SUM(C20,C22,C28,C30,C32)</f>
        <v>18078556.010773733</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sgnh74bgcM31Q0Go2f7N4jpjKLkZq6jzTg6vt3vnIxHKAE5jUtVeNa0zEBsxByhdmPONaVvNNDaG4PWpE6Iogw==" saltValue="EoFgu4E57LvENy/w3GXuBA=="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1"/>
  <sheetViews>
    <sheetView showGridLines="0" view="pageLayout" zoomScaleNormal="100" workbookViewId="0">
      <selection activeCell="B5" sqref="B5:D5"/>
    </sheetView>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174</v>
      </c>
      <c r="C3" s="114"/>
      <c r="D3" s="114"/>
      <c r="E3" s="1"/>
    </row>
    <row r="4" spans="1:5" ht="15" customHeight="1" x14ac:dyDescent="0.25">
      <c r="A4" s="1"/>
      <c r="B4" s="114"/>
      <c r="C4" s="114"/>
      <c r="D4" s="114"/>
      <c r="E4" s="1"/>
    </row>
    <row r="5" spans="1:5" x14ac:dyDescent="0.25">
      <c r="A5" s="1"/>
      <c r="B5" s="115"/>
      <c r="C5" s="115"/>
      <c r="D5" s="115"/>
      <c r="E5" s="1"/>
    </row>
    <row r="6" spans="1:5" x14ac:dyDescent="0.25">
      <c r="A6" s="1"/>
      <c r="B6" s="1"/>
      <c r="C6" s="1"/>
      <c r="D6" s="1"/>
      <c r="E6" s="1"/>
    </row>
    <row r="7" spans="1:5" x14ac:dyDescent="0.25">
      <c r="A7" s="1"/>
      <c r="B7" s="1"/>
      <c r="C7" s="1"/>
      <c r="D7" s="1"/>
      <c r="E7" s="1"/>
    </row>
    <row r="8" spans="1:5" x14ac:dyDescent="0.25">
      <c r="A8" s="1"/>
      <c r="B8" s="65" t="s">
        <v>12</v>
      </c>
      <c r="C8" s="66"/>
      <c r="D8" s="20"/>
      <c r="E8" s="1"/>
    </row>
    <row r="9" spans="1:5" ht="15" customHeight="1" x14ac:dyDescent="0.25">
      <c r="A9" s="1"/>
      <c r="B9" s="70" t="s">
        <v>147</v>
      </c>
      <c r="C9" s="7">
        <f>'Fane 2.1. Økonomisk ramme 2023'!C20</f>
        <v>10554964.986180574</v>
      </c>
      <c r="D9" s="8" t="s">
        <v>3</v>
      </c>
      <c r="E9" s="1"/>
    </row>
    <row r="10" spans="1:5" ht="15" customHeight="1" x14ac:dyDescent="0.25">
      <c r="A10" s="1"/>
      <c r="B10" s="64" t="s">
        <v>17</v>
      </c>
      <c r="C10" s="9">
        <f>SUM(C9:C9)*'Fane 13. Nøgletal'!C15</f>
        <v>375756.7535080284</v>
      </c>
      <c r="D10" s="8" t="s">
        <v>3</v>
      </c>
      <c r="E10" s="1"/>
    </row>
    <row r="11" spans="1:5" ht="15" customHeight="1" x14ac:dyDescent="0.25">
      <c r="A11" s="1"/>
      <c r="B11" s="64" t="s">
        <v>9</v>
      </c>
      <c r="C11" s="9">
        <f>-SUM(C9:C10)*'Fane 5. Individuelt eff. krav'!G9</f>
        <v>0</v>
      </c>
      <c r="D11" s="8" t="s">
        <v>3</v>
      </c>
      <c r="E11" s="1"/>
    </row>
    <row r="12" spans="1:5" ht="15" customHeight="1" x14ac:dyDescent="0.25">
      <c r="A12" s="1"/>
      <c r="B12" s="64" t="s">
        <v>23</v>
      </c>
      <c r="C12" s="9">
        <f>-'Fane 4.1. Gen. krav - drift'!G55</f>
        <v>-82481.61131823709</v>
      </c>
      <c r="D12" s="8" t="s">
        <v>3</v>
      </c>
      <c r="E12" s="1"/>
    </row>
    <row r="13" spans="1:5" x14ac:dyDescent="0.25">
      <c r="A13" s="1"/>
      <c r="B13" s="64" t="s">
        <v>24</v>
      </c>
      <c r="C13" s="9">
        <f>-'Fane 4.2. Gen. krav - anlæg'!G53</f>
        <v>0</v>
      </c>
      <c r="D13" s="8" t="s">
        <v>3</v>
      </c>
      <c r="E13" s="1"/>
    </row>
    <row r="14" spans="1:5" ht="15" customHeight="1" x14ac:dyDescent="0.25">
      <c r="A14" s="1"/>
      <c r="B14" s="36" t="s">
        <v>19</v>
      </c>
      <c r="C14" s="10">
        <f>SUM(C9:C13)</f>
        <v>10848240.128370365</v>
      </c>
      <c r="D14" s="11" t="s">
        <v>3</v>
      </c>
      <c r="E14" s="1"/>
    </row>
    <row r="15" spans="1:5" ht="15" customHeight="1" x14ac:dyDescent="0.25">
      <c r="A15" s="1"/>
      <c r="B15" s="65" t="s">
        <v>11</v>
      </c>
      <c r="C15" s="66"/>
      <c r="D15" s="20"/>
      <c r="E15" s="1"/>
    </row>
    <row r="16" spans="1:5" ht="15" customHeight="1" x14ac:dyDescent="0.25">
      <c r="A16" s="1"/>
      <c r="B16" s="67" t="s">
        <v>11</v>
      </c>
      <c r="C16" s="10">
        <f>'Fane 6. Ikke-påvirkelige omk.'!C15*(1+'Fane 13. Nøgletal'!C15)</f>
        <v>7791430.865068675</v>
      </c>
      <c r="D16" s="11" t="s">
        <v>3</v>
      </c>
      <c r="E16" s="1"/>
    </row>
    <row r="17" spans="1:5" ht="15" customHeight="1" x14ac:dyDescent="0.25">
      <c r="A17" s="1"/>
      <c r="B17" s="29" t="s">
        <v>142</v>
      </c>
      <c r="C17" s="66"/>
      <c r="D17" s="20"/>
      <c r="E17" s="1"/>
    </row>
    <row r="18" spans="1:5" ht="15" customHeight="1" x14ac:dyDescent="0.25">
      <c r="A18" s="1"/>
      <c r="B18" s="79" t="s">
        <v>143</v>
      </c>
      <c r="C18" s="10">
        <f>'Fane 7. Kontrol af ØR2021'!E33</f>
        <v>0</v>
      </c>
      <c r="D18" s="11" t="s">
        <v>3</v>
      </c>
      <c r="E18" s="1"/>
    </row>
    <row r="19" spans="1:5" x14ac:dyDescent="0.25">
      <c r="A19" s="1"/>
      <c r="B19" s="29" t="s">
        <v>161</v>
      </c>
      <c r="C19" s="66"/>
      <c r="D19" s="20"/>
      <c r="E19" s="1"/>
    </row>
    <row r="20" spans="1:5" x14ac:dyDescent="0.25">
      <c r="A20" s="1"/>
      <c r="B20" s="79" t="s">
        <v>162</v>
      </c>
      <c r="C20" s="10">
        <f>'Fane 8. Skattesagen'!G13</f>
        <v>0</v>
      </c>
      <c r="D20" s="11" t="s">
        <v>3</v>
      </c>
      <c r="E20" s="1"/>
    </row>
    <row r="21" spans="1:5" x14ac:dyDescent="0.25">
      <c r="A21" s="1"/>
      <c r="B21" s="65" t="s">
        <v>126</v>
      </c>
      <c r="C21" s="12">
        <f>SUM(C14,C16,C18,C20)</f>
        <v>18639670.993439041</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7PA8cALpRV4Ne0AKiOmPM4FHRFKW4hdaTvdZSvhVTtvAU2FbLrjucAXLFnKDBfrsZGkroW9KyFn6bGrI2G/m+A==" saltValue="le2RKJr4zVbwrd4NLPqkE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175</v>
      </c>
      <c r="C3" s="114"/>
      <c r="D3" s="114"/>
      <c r="E3" s="1"/>
    </row>
    <row r="4" spans="1:5" ht="15" customHeight="1" x14ac:dyDescent="0.25">
      <c r="A4" s="1"/>
      <c r="B4" s="114"/>
      <c r="C4" s="114"/>
      <c r="D4" s="114"/>
      <c r="E4" s="1"/>
    </row>
    <row r="5" spans="1:5" x14ac:dyDescent="0.25">
      <c r="A5" s="1"/>
      <c r="B5" s="115" t="s">
        <v>20</v>
      </c>
      <c r="C5" s="115"/>
      <c r="D5" s="115"/>
      <c r="E5" s="1"/>
    </row>
    <row r="6" spans="1:5" x14ac:dyDescent="0.25">
      <c r="A6" s="1"/>
      <c r="B6" s="1"/>
      <c r="C6" s="1"/>
      <c r="D6" s="1"/>
      <c r="E6" s="1"/>
    </row>
    <row r="7" spans="1:5" x14ac:dyDescent="0.25">
      <c r="A7" s="1"/>
      <c r="B7" s="65" t="s">
        <v>12</v>
      </c>
      <c r="C7" s="66"/>
      <c r="D7" s="20"/>
      <c r="E7" s="1"/>
    </row>
    <row r="8" spans="1:5" ht="15" customHeight="1" x14ac:dyDescent="0.25">
      <c r="A8" s="1"/>
      <c r="B8" s="70" t="s">
        <v>125</v>
      </c>
      <c r="C8" s="7">
        <f>'Fane 2.2. Økonomisk ramme 2024'!C14</f>
        <v>10848240.128370365</v>
      </c>
      <c r="D8" s="8" t="s">
        <v>3</v>
      </c>
      <c r="E8" s="1"/>
    </row>
    <row r="9" spans="1:5" ht="15" customHeight="1" x14ac:dyDescent="0.25">
      <c r="A9" s="1"/>
      <c r="B9" s="64" t="s">
        <v>17</v>
      </c>
      <c r="C9" s="9">
        <f>SUM(C8:C8)*'Fane 13. Nøgletal'!C15</f>
        <v>386197.34856998501</v>
      </c>
      <c r="D9" s="8" t="s">
        <v>3</v>
      </c>
      <c r="E9" s="1"/>
    </row>
    <row r="10" spans="1:5" ht="15" customHeight="1" x14ac:dyDescent="0.25">
      <c r="A10" s="1"/>
      <c r="B10" s="64" t="s">
        <v>9</v>
      </c>
      <c r="C10" s="9">
        <f>-SUM(C8,C9:C9)*'Fane 5. Individuelt eff. krav'!G9</f>
        <v>0</v>
      </c>
      <c r="D10" s="8" t="s">
        <v>3</v>
      </c>
      <c r="E10" s="1"/>
    </row>
    <row r="11" spans="1:5" ht="15" customHeight="1" x14ac:dyDescent="0.25">
      <c r="A11" s="1"/>
      <c r="B11" s="64" t="s">
        <v>23</v>
      </c>
      <c r="C11" s="9">
        <f>-'Fane 4.1. Gen. krav - drift'!G60</f>
        <v>-83709.597547543002</v>
      </c>
      <c r="D11" s="8" t="s">
        <v>3</v>
      </c>
      <c r="E11" s="1"/>
    </row>
    <row r="12" spans="1:5" ht="15" customHeight="1" x14ac:dyDescent="0.25">
      <c r="A12" s="1"/>
      <c r="B12" s="64" t="s">
        <v>24</v>
      </c>
      <c r="C12" s="9">
        <f>-'Fane 4.2. Gen. krav - anlæg'!G58</f>
        <v>0</v>
      </c>
      <c r="D12" s="8" t="s">
        <v>3</v>
      </c>
      <c r="E12" s="1"/>
    </row>
    <row r="13" spans="1:5" ht="17.25" customHeight="1" x14ac:dyDescent="0.25">
      <c r="A13" s="1"/>
      <c r="B13" s="36" t="s">
        <v>19</v>
      </c>
      <c r="C13" s="10">
        <f>SUM(C8,C9:C12)</f>
        <v>11150727.879392808</v>
      </c>
      <c r="D13" s="11" t="s">
        <v>3</v>
      </c>
      <c r="E13" s="1"/>
    </row>
    <row r="14" spans="1:5" x14ac:dyDescent="0.25">
      <c r="A14" s="1"/>
      <c r="B14" s="65" t="s">
        <v>11</v>
      </c>
      <c r="C14" s="66"/>
      <c r="D14" s="20"/>
      <c r="E14" s="1"/>
    </row>
    <row r="15" spans="1:5" ht="15" customHeight="1" x14ac:dyDescent="0.25">
      <c r="A15" s="1"/>
      <c r="B15" s="67" t="s">
        <v>11</v>
      </c>
      <c r="C15" s="10">
        <f>'Fane 6. Ikke-påvirkelige omk.'!C15*(1+'Fane 13. Nøgletal'!C15)^2</f>
        <v>8068805.8038651198</v>
      </c>
      <c r="D15" s="11" t="s">
        <v>3</v>
      </c>
      <c r="E15" s="1"/>
    </row>
    <row r="16" spans="1:5" ht="15" customHeight="1" x14ac:dyDescent="0.25">
      <c r="A16" s="1"/>
      <c r="B16" s="29" t="s">
        <v>142</v>
      </c>
      <c r="C16" s="66"/>
      <c r="D16" s="20"/>
      <c r="E16" s="1"/>
    </row>
    <row r="17" spans="1:5" ht="15" customHeight="1" x14ac:dyDescent="0.25">
      <c r="A17" s="1"/>
      <c r="B17" s="79" t="s">
        <v>143</v>
      </c>
      <c r="C17" s="10">
        <v>0</v>
      </c>
      <c r="D17" s="11" t="s">
        <v>3</v>
      </c>
      <c r="E17" s="1"/>
    </row>
    <row r="18" spans="1:5" x14ac:dyDescent="0.25">
      <c r="A18" s="1"/>
      <c r="B18" s="29" t="s">
        <v>161</v>
      </c>
      <c r="C18" s="66"/>
      <c r="D18" s="20"/>
      <c r="E18" s="1"/>
    </row>
    <row r="19" spans="1:5" x14ac:dyDescent="0.25">
      <c r="A19" s="1"/>
      <c r="B19" s="79" t="s">
        <v>162</v>
      </c>
      <c r="C19" s="10">
        <f>'Fane 8. Skattesagen'!G14</f>
        <v>0</v>
      </c>
      <c r="D19" s="11" t="s">
        <v>3</v>
      </c>
      <c r="E19" s="1"/>
    </row>
    <row r="20" spans="1:5" x14ac:dyDescent="0.25">
      <c r="A20" s="1"/>
      <c r="B20" s="65" t="s">
        <v>148</v>
      </c>
      <c r="C20" s="12">
        <f>SUM(C13,C15,C17,C19)</f>
        <v>19219533.68325793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oJZv/3v5+tKEULcvpdfCULl2kXemk5oLri/OswyRwoWfj/MyS5ceppwPYb2mVdWby6cXBnB56AS1KgOlyAizBw==" saltValue="GXGfzqSGZugCbJTaAX3ni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2.2851562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176</v>
      </c>
      <c r="C3" s="114"/>
      <c r="D3" s="114"/>
      <c r="E3" s="1"/>
    </row>
    <row r="4" spans="1:5" ht="15" customHeight="1" x14ac:dyDescent="0.25">
      <c r="A4" s="1"/>
      <c r="B4" s="114"/>
      <c r="C4" s="114"/>
      <c r="D4" s="114"/>
      <c r="E4" s="1"/>
    </row>
    <row r="5" spans="1:5" x14ac:dyDescent="0.25">
      <c r="A5" s="1"/>
      <c r="B5" s="115" t="s">
        <v>20</v>
      </c>
      <c r="C5" s="115"/>
      <c r="D5" s="115"/>
      <c r="E5" s="1"/>
    </row>
    <row r="6" spans="1:5" x14ac:dyDescent="0.25">
      <c r="A6" s="1"/>
      <c r="B6" s="1"/>
      <c r="C6" s="1"/>
      <c r="D6" s="1"/>
      <c r="E6" s="1"/>
    </row>
    <row r="7" spans="1:5" x14ac:dyDescent="0.25">
      <c r="A7" s="1"/>
      <c r="B7" s="65" t="s">
        <v>12</v>
      </c>
      <c r="C7" s="66"/>
      <c r="D7" s="20"/>
      <c r="E7" s="1"/>
    </row>
    <row r="8" spans="1:5" ht="15" customHeight="1" x14ac:dyDescent="0.25">
      <c r="A8" s="1"/>
      <c r="B8" s="70" t="s">
        <v>177</v>
      </c>
      <c r="C8" s="7">
        <f>'Fane 2.3. Økonomisk ramme 2025'!C13</f>
        <v>11150727.879392808</v>
      </c>
      <c r="D8" s="8" t="s">
        <v>3</v>
      </c>
      <c r="E8" s="1"/>
    </row>
    <row r="9" spans="1:5" ht="15" customHeight="1" x14ac:dyDescent="0.25">
      <c r="A9" s="1"/>
      <c r="B9" s="64" t="s">
        <v>17</v>
      </c>
      <c r="C9" s="9">
        <f>SUM(C8:C8)*'Fane 13. Nøgletal'!C15</f>
        <v>396965.91250638396</v>
      </c>
      <c r="D9" s="8" t="s">
        <v>3</v>
      </c>
      <c r="E9" s="1"/>
    </row>
    <row r="10" spans="1:5" ht="15" customHeight="1" x14ac:dyDescent="0.25">
      <c r="A10" s="1"/>
      <c r="B10" s="64" t="s">
        <v>9</v>
      </c>
      <c r="C10" s="9">
        <f>-SUM(C8:C9)*'Fane 5. Individuelt eff. krav'!G9</f>
        <v>0</v>
      </c>
      <c r="D10" s="8" t="s">
        <v>3</v>
      </c>
      <c r="E10" s="1"/>
    </row>
    <row r="11" spans="1:5" ht="15" customHeight="1" x14ac:dyDescent="0.25">
      <c r="A11" s="1"/>
      <c r="B11" s="64" t="s">
        <v>23</v>
      </c>
      <c r="C11" s="9">
        <f>-'Fane 4.1. Gen. krav - drift'!G65</f>
        <v>-84955.866035830826</v>
      </c>
      <c r="D11" s="8" t="s">
        <v>3</v>
      </c>
      <c r="E11" s="1"/>
    </row>
    <row r="12" spans="1:5" x14ac:dyDescent="0.25">
      <c r="A12" s="1"/>
      <c r="B12" s="64" t="s">
        <v>24</v>
      </c>
      <c r="C12" s="9">
        <f>-'Fane 4.2. Gen. krav - anlæg'!G63</f>
        <v>0</v>
      </c>
      <c r="D12" s="8" t="s">
        <v>3</v>
      </c>
      <c r="E12" s="1"/>
    </row>
    <row r="13" spans="1:5" ht="16.5" customHeight="1" x14ac:dyDescent="0.25">
      <c r="A13" s="1"/>
      <c r="B13" s="36" t="s">
        <v>19</v>
      </c>
      <c r="C13" s="10">
        <f>SUM(C8:C12)</f>
        <v>11462737.925863363</v>
      </c>
      <c r="D13" s="11" t="s">
        <v>3</v>
      </c>
      <c r="E13" s="1"/>
    </row>
    <row r="14" spans="1:5" x14ac:dyDescent="0.25">
      <c r="A14" s="1"/>
      <c r="B14" s="65" t="s">
        <v>11</v>
      </c>
      <c r="C14" s="66"/>
      <c r="D14" s="20"/>
      <c r="E14" s="1"/>
    </row>
    <row r="15" spans="1:5" ht="15" customHeight="1" x14ac:dyDescent="0.25">
      <c r="A15" s="1"/>
      <c r="B15" s="67" t="s">
        <v>11</v>
      </c>
      <c r="C15" s="10">
        <f>'Fane 6. Ikke-påvirkelige omk.'!C15*(1+'Fane 13. Nøgletal'!C15)^3</f>
        <v>8356055.2904827185</v>
      </c>
      <c r="D15" s="11" t="s">
        <v>3</v>
      </c>
      <c r="E15" s="1"/>
    </row>
    <row r="16" spans="1:5" ht="15" customHeight="1" x14ac:dyDescent="0.25">
      <c r="A16" s="1"/>
      <c r="B16" s="29" t="s">
        <v>142</v>
      </c>
      <c r="C16" s="66"/>
      <c r="D16" s="20"/>
      <c r="E16" s="1"/>
    </row>
    <row r="17" spans="1:5" ht="15" customHeight="1" x14ac:dyDescent="0.25">
      <c r="A17" s="1"/>
      <c r="B17" s="79" t="s">
        <v>143</v>
      </c>
      <c r="C17" s="10">
        <v>0</v>
      </c>
      <c r="D17" s="11" t="s">
        <v>3</v>
      </c>
      <c r="E17" s="1"/>
    </row>
    <row r="18" spans="1:5" x14ac:dyDescent="0.25">
      <c r="A18" s="1"/>
      <c r="B18" s="29" t="s">
        <v>161</v>
      </c>
      <c r="C18" s="66"/>
      <c r="D18" s="20"/>
      <c r="E18" s="1"/>
    </row>
    <row r="19" spans="1:5" x14ac:dyDescent="0.25">
      <c r="A19" s="1"/>
      <c r="B19" s="79" t="s">
        <v>162</v>
      </c>
      <c r="C19" s="10">
        <f>'Fane 8. Skattesagen'!G15</f>
        <v>0</v>
      </c>
      <c r="D19" s="11" t="s">
        <v>3</v>
      </c>
      <c r="E19" s="1"/>
    </row>
    <row r="20" spans="1:5" x14ac:dyDescent="0.25">
      <c r="A20" s="1"/>
      <c r="B20" s="65" t="s">
        <v>178</v>
      </c>
      <c r="C20" s="12">
        <f>SUM(C13,C15,C17,C19)</f>
        <v>19818793.216346081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GSAlGuCIw4oue72AMc+FnA04IBSjpt5/f74cDsfzg8Z3dyhNQ7jaeZyRMUxurRCfCjCVfkSdmc5NoEPQz5F8qg==" saltValue="1W1mhMQO+cYq1UeYR50Hx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topLeftCell="A4" zoomScaleNormal="100" workbookViewId="0">
      <selection activeCell="F15" sqref="B15:F15"/>
    </sheetView>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3" t="s">
        <v>179</v>
      </c>
      <c r="C3" s="133"/>
      <c r="D3" s="133"/>
      <c r="E3" s="133"/>
      <c r="F3" s="133"/>
      <c r="G3" s="1"/>
    </row>
    <row r="4" spans="1:7" ht="29.25" customHeight="1" x14ac:dyDescent="0.25">
      <c r="A4" s="1"/>
      <c r="B4" s="133"/>
      <c r="C4" s="133"/>
      <c r="D4" s="133"/>
      <c r="E4" s="133"/>
      <c r="F4" s="13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180</v>
      </c>
      <c r="C8" s="66"/>
      <c r="D8" s="66"/>
      <c r="E8" s="66"/>
      <c r="F8" s="20"/>
      <c r="G8" s="1"/>
    </row>
    <row r="9" spans="1:7" x14ac:dyDescent="0.25">
      <c r="A9" s="1"/>
      <c r="B9" s="134" t="s">
        <v>22</v>
      </c>
      <c r="C9" s="135"/>
      <c r="D9" s="136"/>
      <c r="E9" s="7">
        <v>9013230.5714499373</v>
      </c>
      <c r="F9" s="8" t="s">
        <v>3</v>
      </c>
      <c r="G9" s="1"/>
    </row>
    <row r="10" spans="1:7" x14ac:dyDescent="0.25">
      <c r="A10" s="1"/>
      <c r="B10" s="125" t="s">
        <v>203</v>
      </c>
      <c r="C10" s="126"/>
      <c r="D10" s="127"/>
      <c r="E10" s="37">
        <v>0</v>
      </c>
      <c r="F10" s="8" t="s">
        <v>3</v>
      </c>
      <c r="G10" s="1"/>
    </row>
    <row r="11" spans="1:7" x14ac:dyDescent="0.25">
      <c r="A11" s="1"/>
      <c r="B11" s="125" t="s">
        <v>204</v>
      </c>
      <c r="C11" s="126"/>
      <c r="D11" s="127"/>
      <c r="E11" s="37">
        <v>22682.131388973819</v>
      </c>
      <c r="F11" s="8" t="s">
        <v>3</v>
      </c>
      <c r="G11" s="1"/>
    </row>
    <row r="12" spans="1:7" x14ac:dyDescent="0.25">
      <c r="A12" s="1"/>
      <c r="B12" s="125" t="s">
        <v>145</v>
      </c>
      <c r="C12" s="126"/>
      <c r="D12" s="127"/>
      <c r="E12" s="7">
        <v>0</v>
      </c>
      <c r="F12" s="8" t="s">
        <v>3</v>
      </c>
      <c r="G12" s="1"/>
    </row>
    <row r="13" spans="1:7" x14ac:dyDescent="0.25">
      <c r="A13" s="1"/>
      <c r="B13" s="125" t="s">
        <v>146</v>
      </c>
      <c r="C13" s="126"/>
      <c r="D13" s="127"/>
      <c r="E13" s="7">
        <v>0</v>
      </c>
      <c r="F13" s="8" t="s">
        <v>3</v>
      </c>
      <c r="G13" s="1"/>
    </row>
    <row r="14" spans="1:7" s="33" customFormat="1" x14ac:dyDescent="0.25">
      <c r="A14" s="32"/>
      <c r="B14" s="125" t="s">
        <v>35</v>
      </c>
      <c r="C14" s="126"/>
      <c r="D14" s="127"/>
      <c r="E14" s="37">
        <v>429141.50900000002</v>
      </c>
      <c r="F14" s="8" t="s">
        <v>3</v>
      </c>
      <c r="G14" s="1"/>
    </row>
    <row r="15" spans="1:7" s="33" customFormat="1" x14ac:dyDescent="0.25">
      <c r="A15" s="32"/>
      <c r="B15" s="125" t="s">
        <v>36</v>
      </c>
      <c r="C15" s="126"/>
      <c r="D15" s="127"/>
      <c r="E15" s="37">
        <v>813821.77850000001</v>
      </c>
      <c r="F15" s="8" t="s">
        <v>3</v>
      </c>
      <c r="G15" s="32"/>
    </row>
    <row r="16" spans="1:7" x14ac:dyDescent="0.25">
      <c r="A16" s="1"/>
      <c r="B16" s="119" t="s">
        <v>26</v>
      </c>
      <c r="C16" s="120"/>
      <c r="D16" s="121"/>
      <c r="E16" s="9">
        <v>0</v>
      </c>
      <c r="F16" s="8" t="s">
        <v>3</v>
      </c>
      <c r="G16" s="1"/>
    </row>
    <row r="17" spans="1:7" x14ac:dyDescent="0.25">
      <c r="A17" s="1"/>
      <c r="B17" s="119" t="s">
        <v>25</v>
      </c>
      <c r="C17" s="120"/>
      <c r="D17" s="121"/>
      <c r="E17" s="9">
        <v>0</v>
      </c>
      <c r="F17" s="8" t="s">
        <v>3</v>
      </c>
      <c r="G17" s="1"/>
    </row>
    <row r="18" spans="1:7" x14ac:dyDescent="0.25">
      <c r="A18" s="1"/>
      <c r="B18" s="119" t="s">
        <v>122</v>
      </c>
      <c r="C18" s="120"/>
      <c r="D18" s="121"/>
      <c r="E18" s="9">
        <v>0</v>
      </c>
      <c r="F18" s="8" t="s">
        <v>3</v>
      </c>
      <c r="G18" s="1"/>
    </row>
    <row r="19" spans="1:7" x14ac:dyDescent="0.25">
      <c r="A19" s="1"/>
      <c r="B19" s="119" t="s">
        <v>123</v>
      </c>
      <c r="C19" s="120"/>
      <c r="D19" s="121"/>
      <c r="E19" s="9">
        <v>0</v>
      </c>
      <c r="F19" s="8" t="s">
        <v>3</v>
      </c>
      <c r="G19" s="1"/>
    </row>
    <row r="20" spans="1:7" x14ac:dyDescent="0.25">
      <c r="A20" s="1"/>
      <c r="B20" s="119" t="s">
        <v>17</v>
      </c>
      <c r="C20" s="120"/>
      <c r="D20" s="121"/>
      <c r="E20" s="9">
        <v>156488.88547414306</v>
      </c>
      <c r="F20" s="8" t="s">
        <v>3</v>
      </c>
      <c r="G20" s="1"/>
    </row>
    <row r="21" spans="1:7" x14ac:dyDescent="0.25">
      <c r="A21" s="1"/>
      <c r="B21" s="119" t="s">
        <v>9</v>
      </c>
      <c r="C21" s="120"/>
      <c r="D21" s="121"/>
      <c r="E21" s="9">
        <v>0</v>
      </c>
      <c r="F21" s="8" t="s">
        <v>3</v>
      </c>
      <c r="G21" s="1"/>
    </row>
    <row r="22" spans="1:7" x14ac:dyDescent="0.25">
      <c r="A22" s="1"/>
      <c r="B22" s="119" t="s">
        <v>23</v>
      </c>
      <c r="C22" s="120"/>
      <c r="D22" s="121"/>
      <c r="E22" s="9">
        <v>-80079.416797227677</v>
      </c>
      <c r="F22" s="8" t="s">
        <v>3</v>
      </c>
      <c r="G22" s="1"/>
    </row>
    <row r="23" spans="1:7" x14ac:dyDescent="0.25">
      <c r="A23" s="1"/>
      <c r="B23" s="119" t="s">
        <v>24</v>
      </c>
      <c r="C23" s="120"/>
      <c r="D23" s="121"/>
      <c r="E23" s="9">
        <v>-62000.174541608205</v>
      </c>
      <c r="F23" s="8" t="s">
        <v>3</v>
      </c>
      <c r="G23" s="1"/>
    </row>
    <row r="24" spans="1:7" x14ac:dyDescent="0.25">
      <c r="A24" s="1"/>
      <c r="B24" s="122" t="s">
        <v>19</v>
      </c>
      <c r="C24" s="123"/>
      <c r="D24" s="124"/>
      <c r="E24" s="41">
        <v>10270603.153085245</v>
      </c>
      <c r="F24" s="43" t="s">
        <v>3</v>
      </c>
      <c r="G24" s="1"/>
    </row>
    <row r="25" spans="1:7" x14ac:dyDescent="0.25">
      <c r="A25" s="1"/>
      <c r="B25" s="137" t="s">
        <v>11</v>
      </c>
      <c r="C25" s="138"/>
      <c r="D25" s="138"/>
      <c r="E25" s="66"/>
      <c r="F25" s="20"/>
      <c r="G25" s="1"/>
    </row>
    <row r="26" spans="1:7" x14ac:dyDescent="0.25">
      <c r="A26" s="1"/>
      <c r="B26" s="130" t="s">
        <v>11</v>
      </c>
      <c r="C26" s="131"/>
      <c r="D26" s="132"/>
      <c r="E26" s="10">
        <v>6587957.2322849911</v>
      </c>
      <c r="F26" s="11" t="s">
        <v>3</v>
      </c>
      <c r="G26" s="1"/>
    </row>
    <row r="27" spans="1:7" x14ac:dyDescent="0.25">
      <c r="A27" s="1"/>
      <c r="B27" s="65" t="s">
        <v>84</v>
      </c>
      <c r="C27" s="66"/>
      <c r="D27" s="66"/>
      <c r="E27" s="66"/>
      <c r="F27" s="20"/>
      <c r="G27" s="1"/>
    </row>
    <row r="28" spans="1:7" ht="15" customHeight="1" x14ac:dyDescent="0.25">
      <c r="A28" s="1"/>
      <c r="B28" s="125" t="s">
        <v>80</v>
      </c>
      <c r="C28" s="126"/>
      <c r="D28" s="127"/>
      <c r="E28" s="9">
        <v>0</v>
      </c>
      <c r="F28" s="8" t="s">
        <v>3</v>
      </c>
      <c r="G28" s="1"/>
    </row>
    <row r="29" spans="1:7" x14ac:dyDescent="0.25">
      <c r="A29" s="1"/>
      <c r="B29" s="125" t="s">
        <v>81</v>
      </c>
      <c r="C29" s="126"/>
      <c r="D29" s="127"/>
      <c r="E29" s="9">
        <v>0</v>
      </c>
      <c r="F29" s="8" t="s">
        <v>3</v>
      </c>
      <c r="G29" s="1"/>
    </row>
    <row r="30" spans="1:7" x14ac:dyDescent="0.25">
      <c r="A30" s="1"/>
      <c r="B30" s="128" t="s">
        <v>85</v>
      </c>
      <c r="C30" s="129"/>
      <c r="D30" s="129"/>
      <c r="E30" s="10">
        <v>0</v>
      </c>
      <c r="F30" s="10" t="s">
        <v>3</v>
      </c>
      <c r="G30" s="1"/>
    </row>
    <row r="31" spans="1:7" x14ac:dyDescent="0.25">
      <c r="A31" s="1"/>
      <c r="B31" s="65" t="s">
        <v>142</v>
      </c>
      <c r="C31" s="66"/>
      <c r="D31" s="66"/>
      <c r="E31" s="66"/>
      <c r="F31" s="20"/>
      <c r="G31" s="1"/>
    </row>
    <row r="32" spans="1:7" x14ac:dyDescent="0.25">
      <c r="A32" s="1"/>
      <c r="B32" s="128" t="s">
        <v>143</v>
      </c>
      <c r="C32" s="129"/>
      <c r="D32" s="129"/>
      <c r="E32" s="10">
        <v>0</v>
      </c>
      <c r="F32" s="10" t="s">
        <v>3</v>
      </c>
      <c r="G32" s="1"/>
    </row>
    <row r="33" spans="1:7" x14ac:dyDescent="0.25">
      <c r="A33" s="1"/>
      <c r="B33" s="65" t="s">
        <v>206</v>
      </c>
      <c r="C33" s="66"/>
      <c r="D33" s="66"/>
      <c r="E33" s="66"/>
      <c r="F33" s="20"/>
      <c r="G33" s="1"/>
    </row>
    <row r="34" spans="1:7" ht="15.6" customHeight="1" x14ac:dyDescent="0.25">
      <c r="A34" s="1"/>
      <c r="B34" s="130" t="s">
        <v>205</v>
      </c>
      <c r="C34" s="131"/>
      <c r="D34" s="132"/>
      <c r="E34" s="10">
        <f>'Fane 8. Skattesagen'!G11</f>
        <v>0</v>
      </c>
      <c r="F34" s="11" t="s">
        <v>3</v>
      </c>
      <c r="G34" s="1"/>
    </row>
    <row r="35" spans="1:7" ht="15.6" customHeight="1" x14ac:dyDescent="0.25">
      <c r="A35" s="1"/>
      <c r="B35" s="45" t="s">
        <v>27</v>
      </c>
      <c r="C35" s="46"/>
      <c r="D35" s="66"/>
      <c r="E35" s="42">
        <f>SUM(E24,E26,E30,E32,E34)</f>
        <v>16858560.385370236</v>
      </c>
      <c r="F35" s="44" t="s">
        <v>3</v>
      </c>
      <c r="G35" s="1"/>
    </row>
    <row r="36" spans="1:7" ht="27.75" customHeight="1" x14ac:dyDescent="0.25">
      <c r="A36" s="1"/>
      <c r="B36" s="116" t="s">
        <v>181</v>
      </c>
      <c r="C36" s="117"/>
      <c r="D36" s="117"/>
      <c r="E36" s="117"/>
      <c r="F36" s="118"/>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6gWdzDsmj8kFdkLWKonNdVs5wh/QvV8QNTmsExEd39LR7ADE56+M8FdY8FoDib2h6tX0SP8JJgh5Y2538Lb4fA==" saltValue="P8aN3EOE5kK8rotYHvblrg==" spinCount="100000" sheet="1" objects="1" scenarios="1"/>
  <mergeCells count="25">
    <mergeCell ref="B17:D17"/>
    <mergeCell ref="B18:D18"/>
    <mergeCell ref="B19:D19"/>
    <mergeCell ref="B25:D25"/>
    <mergeCell ref="B26:D26"/>
    <mergeCell ref="B3:F4"/>
    <mergeCell ref="B9:D9"/>
    <mergeCell ref="B16:D16"/>
    <mergeCell ref="B14:D14"/>
    <mergeCell ref="B15:D15"/>
    <mergeCell ref="B10:D10"/>
    <mergeCell ref="B11:D11"/>
    <mergeCell ref="B12:D12"/>
    <mergeCell ref="B13:D13"/>
    <mergeCell ref="B36:F36"/>
    <mergeCell ref="B20:D20"/>
    <mergeCell ref="B21:D21"/>
    <mergeCell ref="B22:D22"/>
    <mergeCell ref="B23:D23"/>
    <mergeCell ref="B24:D24"/>
    <mergeCell ref="B29:D29"/>
    <mergeCell ref="B30:D30"/>
    <mergeCell ref="B32:D32"/>
    <mergeCell ref="B28:D28"/>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topLeftCell="A10" zoomScaleNormal="100" workbookViewId="0">
      <selection activeCell="G41" sqref="G41"/>
    </sheetView>
  </sheetViews>
  <sheetFormatPr defaultColWidth="9.140625" defaultRowHeight="15" x14ac:dyDescent="0.25"/>
  <cols>
    <col min="1" max="1" width="2.85546875" style="2" customWidth="1"/>
    <col min="2" max="5" width="9.140625" style="2"/>
    <col min="6" max="6" width="24.7109375" style="2" customWidth="1"/>
    <col min="7" max="7" width="11.7109375" style="2" bestFit="1" customWidth="1"/>
    <col min="8" max="8" width="2.85546875" style="2" customWidth="1"/>
    <col min="9" max="9" width="3.140625" style="2" customWidth="1"/>
    <col min="10" max="16384" width="9.140625" style="2"/>
  </cols>
  <sheetData>
    <row r="1" spans="1:9" x14ac:dyDescent="0.25">
      <c r="A1" s="1"/>
      <c r="B1" s="1"/>
      <c r="C1" s="1"/>
      <c r="D1" s="1"/>
      <c r="E1" s="1"/>
      <c r="F1" s="1"/>
      <c r="G1" s="1"/>
      <c r="H1" s="1"/>
      <c r="I1" s="1"/>
    </row>
    <row r="2" spans="1:9" ht="15" customHeight="1" x14ac:dyDescent="0.25">
      <c r="A2" s="1"/>
      <c r="B2" s="133" t="s">
        <v>101</v>
      </c>
      <c r="C2" s="133"/>
      <c r="D2" s="133"/>
      <c r="E2" s="133"/>
      <c r="F2" s="133"/>
      <c r="G2" s="133"/>
      <c r="H2" s="133"/>
      <c r="I2" s="1"/>
    </row>
    <row r="3" spans="1:9" ht="15" customHeight="1" x14ac:dyDescent="0.25">
      <c r="A3" s="1"/>
      <c r="B3" s="133"/>
      <c r="C3" s="133"/>
      <c r="D3" s="133"/>
      <c r="E3" s="133"/>
      <c r="F3" s="133"/>
      <c r="G3" s="133"/>
      <c r="H3" s="133"/>
      <c r="I3" s="1"/>
    </row>
    <row r="4" spans="1:9" ht="15" customHeight="1" x14ac:dyDescent="0.25">
      <c r="A4" s="1"/>
      <c r="B4" s="133"/>
      <c r="C4" s="133"/>
      <c r="D4" s="133"/>
      <c r="E4" s="133"/>
      <c r="F4" s="133"/>
      <c r="G4" s="133"/>
      <c r="H4" s="133"/>
      <c r="I4" s="1"/>
    </row>
    <row r="5" spans="1:9" x14ac:dyDescent="0.25">
      <c r="A5" s="1"/>
      <c r="B5" s="139" t="s">
        <v>49</v>
      </c>
      <c r="C5" s="140"/>
      <c r="D5" s="140"/>
      <c r="E5" s="140"/>
      <c r="F5" s="140"/>
      <c r="G5" s="140"/>
      <c r="H5" s="142"/>
      <c r="I5" s="1"/>
    </row>
    <row r="6" spans="1:9" x14ac:dyDescent="0.25">
      <c r="A6" s="1"/>
      <c r="B6" s="143" t="s">
        <v>38</v>
      </c>
      <c r="C6" s="144"/>
      <c r="D6" s="144"/>
      <c r="E6" s="144"/>
      <c r="F6" s="145"/>
      <c r="G6" s="61">
        <v>3650556.3379485239</v>
      </c>
      <c r="H6" s="14" t="s">
        <v>3</v>
      </c>
      <c r="I6" s="1"/>
    </row>
    <row r="7" spans="1:9" x14ac:dyDescent="0.25">
      <c r="A7" s="1"/>
      <c r="B7" s="143" t="s">
        <v>39</v>
      </c>
      <c r="C7" s="144"/>
      <c r="D7" s="144"/>
      <c r="E7" s="144"/>
      <c r="F7" s="145"/>
      <c r="G7" s="61">
        <f>G6*'Fane 13. Nøgletal'!C31</f>
        <v>73011.12675897048</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39" t="s">
        <v>50</v>
      </c>
      <c r="C10" s="140"/>
      <c r="D10" s="140"/>
      <c r="E10" s="140"/>
      <c r="F10" s="140"/>
      <c r="G10" s="141"/>
      <c r="H10" s="142"/>
      <c r="I10" s="1"/>
    </row>
    <row r="11" spans="1:9" x14ac:dyDescent="0.25">
      <c r="A11" s="1"/>
      <c r="B11" s="143" t="s">
        <v>40</v>
      </c>
      <c r="C11" s="144"/>
      <c r="D11" s="144"/>
      <c r="E11" s="144"/>
      <c r="F11" s="145"/>
      <c r="G11" s="61">
        <f>(G6-G7)*(1+'Fane 13. Nøgletal'!C9)</f>
        <v>3622980.0353716607</v>
      </c>
      <c r="H11" s="14" t="s">
        <v>3</v>
      </c>
      <c r="I11" s="1"/>
    </row>
    <row r="12" spans="1:9" x14ac:dyDescent="0.25">
      <c r="A12" s="1"/>
      <c r="B12" s="146" t="s">
        <v>41</v>
      </c>
      <c r="C12" s="147"/>
      <c r="D12" s="147"/>
      <c r="E12" s="147"/>
      <c r="F12" s="148"/>
      <c r="G12" s="61">
        <v>0</v>
      </c>
      <c r="H12" s="14" t="s">
        <v>3</v>
      </c>
      <c r="I12" s="1"/>
    </row>
    <row r="13" spans="1:9" x14ac:dyDescent="0.25">
      <c r="A13" s="1"/>
      <c r="B13" s="143" t="s">
        <v>42</v>
      </c>
      <c r="C13" s="144"/>
      <c r="D13" s="144"/>
      <c r="E13" s="144"/>
      <c r="F13" s="145"/>
      <c r="G13" s="61">
        <f>(G11+G12)*'Fane 13. Nøgletal'!C31</f>
        <v>72459.600707433216</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39" t="s">
        <v>51</v>
      </c>
      <c r="C16" s="140"/>
      <c r="D16" s="140"/>
      <c r="E16" s="140"/>
      <c r="F16" s="140"/>
      <c r="G16" s="141"/>
      <c r="H16" s="142"/>
      <c r="I16" s="1"/>
    </row>
    <row r="17" spans="1:9" x14ac:dyDescent="0.25">
      <c r="A17" s="1"/>
      <c r="B17" s="143" t="s">
        <v>43</v>
      </c>
      <c r="C17" s="144"/>
      <c r="D17" s="144"/>
      <c r="E17" s="144"/>
      <c r="F17" s="145"/>
      <c r="G17" s="61">
        <f>(G11+G12-G13)*(1+'Fane 13. Nøgletal'!C11)</f>
        <v>3610524.2300100527</v>
      </c>
      <c r="H17" s="14" t="s">
        <v>3</v>
      </c>
      <c r="I17" s="1"/>
    </row>
    <row r="18" spans="1:9" x14ac:dyDescent="0.25">
      <c r="A18" s="1"/>
      <c r="B18" s="143" t="s">
        <v>119</v>
      </c>
      <c r="C18" s="144"/>
      <c r="D18" s="144"/>
      <c r="E18" s="144"/>
      <c r="F18" s="145"/>
      <c r="G18" s="61">
        <v>0</v>
      </c>
      <c r="H18" s="14" t="s">
        <v>3</v>
      </c>
      <c r="I18" s="1"/>
    </row>
    <row r="19" spans="1:9" x14ac:dyDescent="0.25">
      <c r="A19" s="1"/>
      <c r="B19" s="146" t="s">
        <v>44</v>
      </c>
      <c r="C19" s="147"/>
      <c r="D19" s="147"/>
      <c r="E19" s="147"/>
      <c r="F19" s="148"/>
      <c r="G19" s="61">
        <v>0</v>
      </c>
      <c r="H19" s="14" t="s">
        <v>3</v>
      </c>
      <c r="I19" s="1"/>
    </row>
    <row r="20" spans="1:9" x14ac:dyDescent="0.25">
      <c r="A20" s="1"/>
      <c r="B20" s="143" t="s">
        <v>45</v>
      </c>
      <c r="C20" s="144"/>
      <c r="D20" s="144"/>
      <c r="E20" s="144"/>
      <c r="F20" s="145"/>
      <c r="G20" s="61">
        <f>SUM(G17:G19)*'Fane 13. Nøgletal'!C31</f>
        <v>72210.48460020106</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39" t="s">
        <v>52</v>
      </c>
      <c r="C23" s="140"/>
      <c r="D23" s="140"/>
      <c r="E23" s="140"/>
      <c r="F23" s="140"/>
      <c r="G23" s="141"/>
      <c r="H23" s="142"/>
      <c r="I23" s="1"/>
    </row>
    <row r="24" spans="1:9" x14ac:dyDescent="0.25">
      <c r="A24" s="1"/>
      <c r="B24" s="143" t="s">
        <v>46</v>
      </c>
      <c r="C24" s="144"/>
      <c r="D24" s="144"/>
      <c r="E24" s="144"/>
      <c r="F24" s="145"/>
      <c r="G24" s="61">
        <f>(G17+G18+G19-G20)*(1+'Fane 13. Nøgletal'!C11)</f>
        <v>3598111.2477072775</v>
      </c>
      <c r="H24" s="14" t="s">
        <v>3</v>
      </c>
      <c r="I24" s="1"/>
    </row>
    <row r="25" spans="1:9" x14ac:dyDescent="0.25">
      <c r="A25" s="1"/>
      <c r="B25" s="146" t="s">
        <v>47</v>
      </c>
      <c r="C25" s="147"/>
      <c r="D25" s="147"/>
      <c r="E25" s="147"/>
      <c r="F25" s="148"/>
      <c r="G25" s="61">
        <v>0</v>
      </c>
      <c r="H25" s="14" t="s">
        <v>3</v>
      </c>
      <c r="I25" s="1"/>
    </row>
    <row r="26" spans="1:9" x14ac:dyDescent="0.25">
      <c r="A26" s="1"/>
      <c r="B26" s="143" t="s">
        <v>48</v>
      </c>
      <c r="C26" s="144"/>
      <c r="D26" s="144"/>
      <c r="E26" s="144"/>
      <c r="F26" s="145"/>
      <c r="G26" s="61">
        <f>(G24+G25)*'Fane 13. Nøgletal'!C31</f>
        <v>71962.224954145553</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39" t="s">
        <v>55</v>
      </c>
      <c r="C29" s="140"/>
      <c r="D29" s="140"/>
      <c r="E29" s="140"/>
      <c r="F29" s="140"/>
      <c r="G29" s="141"/>
      <c r="H29" s="142"/>
      <c r="I29" s="1"/>
    </row>
    <row r="30" spans="1:9" x14ac:dyDescent="0.25">
      <c r="A30" s="1"/>
      <c r="B30" s="143" t="s">
        <v>56</v>
      </c>
      <c r="C30" s="144"/>
      <c r="D30" s="144"/>
      <c r="E30" s="144"/>
      <c r="F30" s="145"/>
      <c r="G30" s="61">
        <f>G24*(1-'Fane 13. Nøgletal'!C31)*(1+'Fane 13. Nøgletal'!C11)+G25*(1-'Fane 13. Nøgletal'!C31)*(1+'Fane 13. Nøgletal'!C12)</f>
        <v>3585740.9412376597</v>
      </c>
      <c r="H30" s="14" t="s">
        <v>3</v>
      </c>
      <c r="I30" s="1"/>
    </row>
    <row r="31" spans="1:9" x14ac:dyDescent="0.25">
      <c r="A31" s="1"/>
      <c r="B31" s="149" t="s">
        <v>115</v>
      </c>
      <c r="C31" s="150"/>
      <c r="D31" s="150"/>
      <c r="E31" s="150"/>
      <c r="F31" s="151"/>
      <c r="G31" s="61">
        <f>G25*(1-'Fane 13. Nøgletal'!C31)*(1+'Fane 13. Nøgletal'!C12)</f>
        <v>0</v>
      </c>
      <c r="H31" s="14" t="s">
        <v>3</v>
      </c>
      <c r="I31" s="1"/>
    </row>
    <row r="32" spans="1:9" x14ac:dyDescent="0.25">
      <c r="A32" s="1"/>
      <c r="B32" s="143" t="s">
        <v>132</v>
      </c>
      <c r="C32" s="144"/>
      <c r="D32" s="144"/>
      <c r="E32" s="144"/>
      <c r="F32" s="145"/>
      <c r="G32" s="61">
        <v>0</v>
      </c>
      <c r="H32" s="14" t="s">
        <v>3</v>
      </c>
      <c r="I32" s="1"/>
    </row>
    <row r="33" spans="1:9" x14ac:dyDescent="0.25">
      <c r="A33" s="1"/>
      <c r="B33" s="143" t="s">
        <v>57</v>
      </c>
      <c r="C33" s="144"/>
      <c r="D33" s="144"/>
      <c r="E33" s="144"/>
      <c r="F33" s="145"/>
      <c r="G33" s="61">
        <f>(G30+G32)*'Fane 13. Nøgletal'!C31</f>
        <v>71714.818824753194</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39" t="s">
        <v>100</v>
      </c>
      <c r="C36" s="140"/>
      <c r="D36" s="140"/>
      <c r="E36" s="140"/>
      <c r="F36" s="140"/>
      <c r="G36" s="141"/>
      <c r="H36" s="142"/>
      <c r="I36" s="1"/>
    </row>
    <row r="37" spans="1:9" x14ac:dyDescent="0.25">
      <c r="A37" s="1"/>
      <c r="B37" s="143" t="s">
        <v>78</v>
      </c>
      <c r="C37" s="144"/>
      <c r="D37" s="144"/>
      <c r="E37" s="144"/>
      <c r="F37" s="145"/>
      <c r="G37" s="61">
        <f>(G30-G31)*(1-'Fane 13. Nøgletal'!C31)*(1+'Fane 13. Nøgletal'!C11)+G31*(1-'Fane 13. Nøgletal'!C31)*(1+'Fane 13. Nøgletal'!C12)+G32*(1-'Fane 13. Nøgletal'!C31)*(1+'Fane 13. Nøgletal'!C13)</f>
        <v>3573413.1638816842</v>
      </c>
      <c r="H37" s="14" t="s">
        <v>3</v>
      </c>
      <c r="I37" s="1"/>
    </row>
    <row r="38" spans="1:9" x14ac:dyDescent="0.25">
      <c r="A38" s="1"/>
      <c r="B38" s="149" t="s">
        <v>115</v>
      </c>
      <c r="C38" s="150"/>
      <c r="D38" s="150"/>
      <c r="E38" s="150"/>
      <c r="F38" s="151"/>
      <c r="G38" s="61">
        <f>G31*(1-'Fane 13. Nøgletal'!C31)*(1+'Fane 13. Nøgletal'!C12)</f>
        <v>0</v>
      </c>
      <c r="H38" s="14" t="s">
        <v>3</v>
      </c>
      <c r="I38" s="1"/>
    </row>
    <row r="39" spans="1:9" x14ac:dyDescent="0.25">
      <c r="A39" s="1"/>
      <c r="B39" s="149" t="s">
        <v>136</v>
      </c>
      <c r="C39" s="144"/>
      <c r="D39" s="144"/>
      <c r="E39" s="144"/>
      <c r="F39" s="145"/>
      <c r="G39" s="61">
        <f>G32*(1-'Fane 13. Nøgletal'!C31)*(1+'Fane 13. Nøgletal'!C13)</f>
        <v>0</v>
      </c>
      <c r="H39" s="14" t="s">
        <v>3</v>
      </c>
      <c r="I39" s="1"/>
    </row>
    <row r="40" spans="1:9" x14ac:dyDescent="0.25">
      <c r="A40" s="1"/>
      <c r="B40" s="143" t="s">
        <v>159</v>
      </c>
      <c r="C40" s="144"/>
      <c r="D40" s="144"/>
      <c r="E40" s="144"/>
      <c r="F40" s="145"/>
      <c r="G40" s="61">
        <f>'Fane 3. Omkostninger i ØR2022'!E14*(1+'Fane 13. Nøgletal'!C14)</f>
        <v>430557.67597970006</v>
      </c>
      <c r="H40" s="14" t="s">
        <v>3</v>
      </c>
      <c r="I40" s="1"/>
    </row>
    <row r="41" spans="1:9" x14ac:dyDescent="0.25">
      <c r="A41" s="1"/>
      <c r="B41" s="143" t="s">
        <v>116</v>
      </c>
      <c r="C41" s="144"/>
      <c r="D41" s="144"/>
      <c r="E41" s="144"/>
      <c r="F41" s="145"/>
      <c r="G41" s="61">
        <f>(G37+G40)*'Fane 13. Nøgletal'!C31</f>
        <v>80079.416797227677</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39" t="s">
        <v>216</v>
      </c>
      <c r="C44" s="140"/>
      <c r="D44" s="140"/>
      <c r="E44" s="140"/>
      <c r="F44" s="140"/>
      <c r="G44" s="141"/>
      <c r="H44" s="142"/>
      <c r="I44" s="1"/>
    </row>
    <row r="45" spans="1:9" x14ac:dyDescent="0.25">
      <c r="A45" s="1"/>
      <c r="B45" s="143" t="s">
        <v>77</v>
      </c>
      <c r="C45" s="144"/>
      <c r="D45" s="144"/>
      <c r="E45" s="144"/>
      <c r="F45" s="145"/>
      <c r="G45" s="61">
        <f>(G37+G40-G41)*(1+'Fane 13. Nøgletal'!C15)</f>
        <v>4063581.9577252408</v>
      </c>
      <c r="H45" s="14" t="s">
        <v>3</v>
      </c>
      <c r="I45" s="1"/>
    </row>
    <row r="46" spans="1:9" x14ac:dyDescent="0.25">
      <c r="A46" s="1"/>
      <c r="B46" s="74" t="s">
        <v>207</v>
      </c>
      <c r="C46" s="75"/>
      <c r="D46" s="75"/>
      <c r="E46" s="75"/>
      <c r="F46" s="76"/>
      <c r="G46" s="61">
        <f>SUM('Fane 2.1. Økonomisk ramme 2023'!C10,'Fane 2.1. Økonomisk ramme 2023'!C14,-'Fane 12. Bortfald'!C13)*(1+'Fane 13. Nøgletal'!C15)</f>
        <v>0</v>
      </c>
      <c r="H46" s="14" t="s">
        <v>3</v>
      </c>
      <c r="I46" s="1"/>
    </row>
    <row r="47" spans="1:9" x14ac:dyDescent="0.25">
      <c r="A47" s="1"/>
      <c r="B47" s="143" t="s">
        <v>208</v>
      </c>
      <c r="C47" s="144"/>
      <c r="D47" s="144"/>
      <c r="E47" s="144"/>
      <c r="F47" s="145"/>
      <c r="G47" s="61">
        <f>(G45+G46)*'Fane 13. Nøgletal'!C31</f>
        <v>81271.639154504825</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
      <c r="C51" s="1"/>
      <c r="D51" s="1"/>
      <c r="E51" s="1"/>
      <c r="F51" s="1"/>
      <c r="G51" s="63"/>
      <c r="H51" s="1"/>
      <c r="I51" s="1"/>
    </row>
    <row r="52" spans="1:9" x14ac:dyDescent="0.25">
      <c r="A52" s="1"/>
      <c r="B52" s="1"/>
      <c r="C52" s="1"/>
      <c r="D52" s="1"/>
      <c r="E52" s="1"/>
      <c r="F52" s="1"/>
      <c r="G52" s="63"/>
      <c r="H52" s="1"/>
      <c r="I52" s="1"/>
    </row>
    <row r="53" spans="1:9" x14ac:dyDescent="0.25">
      <c r="A53" s="1"/>
      <c r="B53" s="139" t="s">
        <v>215</v>
      </c>
      <c r="C53" s="140"/>
      <c r="D53" s="140"/>
      <c r="E53" s="140"/>
      <c r="F53" s="140"/>
      <c r="G53" s="141"/>
      <c r="H53" s="142"/>
      <c r="I53" s="1"/>
    </row>
    <row r="54" spans="1:9" x14ac:dyDescent="0.25">
      <c r="A54" s="1"/>
      <c r="B54" s="143" t="s">
        <v>133</v>
      </c>
      <c r="C54" s="144"/>
      <c r="D54" s="144"/>
      <c r="E54" s="144"/>
      <c r="F54" s="145"/>
      <c r="G54" s="61">
        <f>(G45+G46-G47)*(1+'Fane 13. Nøgletal'!C15)</f>
        <v>4124080.5659118542</v>
      </c>
      <c r="H54" s="14" t="s">
        <v>3</v>
      </c>
      <c r="I54" s="1"/>
    </row>
    <row r="55" spans="1:9" x14ac:dyDescent="0.25">
      <c r="A55" s="1"/>
      <c r="B55" s="143" t="s">
        <v>134</v>
      </c>
      <c r="C55" s="144"/>
      <c r="D55" s="144"/>
      <c r="E55" s="144"/>
      <c r="F55" s="145"/>
      <c r="G55" s="61">
        <f>(G54)*'Fane 13. Nøgletal'!C31</f>
        <v>82481.61131823709</v>
      </c>
      <c r="H55" s="14" t="s">
        <v>3</v>
      </c>
      <c r="I55" s="1"/>
    </row>
    <row r="56" spans="1:9" x14ac:dyDescent="0.25">
      <c r="A56" s="1"/>
      <c r="B56" s="65"/>
      <c r="C56" s="66"/>
      <c r="D56" s="66"/>
      <c r="E56" s="66"/>
      <c r="F56" s="66"/>
      <c r="G56" s="62"/>
      <c r="H56" s="20"/>
      <c r="I56" s="1"/>
    </row>
    <row r="57" spans="1:9" x14ac:dyDescent="0.25">
      <c r="A57" s="1"/>
      <c r="B57" s="1"/>
      <c r="C57" s="1"/>
      <c r="D57" s="1"/>
      <c r="E57" s="1"/>
      <c r="F57" s="1"/>
      <c r="G57" s="63"/>
      <c r="H57" s="1"/>
      <c r="I57" s="1"/>
    </row>
    <row r="58" spans="1:9" x14ac:dyDescent="0.25">
      <c r="A58" s="1"/>
      <c r="B58" s="139" t="s">
        <v>149</v>
      </c>
      <c r="C58" s="140"/>
      <c r="D58" s="140"/>
      <c r="E58" s="140"/>
      <c r="F58" s="140"/>
      <c r="G58" s="141"/>
      <c r="H58" s="142"/>
      <c r="I58" s="1"/>
    </row>
    <row r="59" spans="1:9" x14ac:dyDescent="0.25">
      <c r="A59" s="1"/>
      <c r="B59" s="143" t="s">
        <v>150</v>
      </c>
      <c r="C59" s="144"/>
      <c r="D59" s="144"/>
      <c r="E59" s="144"/>
      <c r="F59" s="145"/>
      <c r="G59" s="61">
        <f>(G54-G55)*(1+'Fane 13. Nøgletal'!C15)</f>
        <v>4185479.8773771501</v>
      </c>
      <c r="H59" s="14" t="s">
        <v>3</v>
      </c>
      <c r="I59" s="1"/>
    </row>
    <row r="60" spans="1:9" x14ac:dyDescent="0.25">
      <c r="A60" s="1"/>
      <c r="B60" s="143" t="s">
        <v>151</v>
      </c>
      <c r="C60" s="144"/>
      <c r="D60" s="144"/>
      <c r="E60" s="144"/>
      <c r="F60" s="145"/>
      <c r="G60" s="61">
        <f>(G59)*'Fane 13. Nøgletal'!C31</f>
        <v>83709.597547543002</v>
      </c>
      <c r="H60" s="14" t="s">
        <v>3</v>
      </c>
      <c r="I60" s="1"/>
    </row>
    <row r="61" spans="1:9" x14ac:dyDescent="0.25">
      <c r="A61" s="1"/>
      <c r="B61" s="65"/>
      <c r="C61" s="66"/>
      <c r="D61" s="66"/>
      <c r="E61" s="66"/>
      <c r="F61" s="66"/>
      <c r="G61" s="62"/>
      <c r="H61" s="20"/>
      <c r="I61" s="1"/>
    </row>
    <row r="62" spans="1:9" x14ac:dyDescent="0.25">
      <c r="A62" s="1"/>
      <c r="B62" s="1"/>
      <c r="C62" s="1"/>
      <c r="D62" s="1"/>
      <c r="E62" s="1"/>
      <c r="F62" s="1"/>
      <c r="G62" s="63"/>
      <c r="H62" s="1"/>
      <c r="I62" s="1"/>
    </row>
    <row r="63" spans="1:9" x14ac:dyDescent="0.25">
      <c r="A63" s="1"/>
      <c r="B63" s="139" t="s">
        <v>182</v>
      </c>
      <c r="C63" s="140"/>
      <c r="D63" s="140"/>
      <c r="E63" s="140"/>
      <c r="F63" s="140"/>
      <c r="G63" s="141"/>
      <c r="H63" s="142"/>
      <c r="I63" s="1"/>
    </row>
    <row r="64" spans="1:9" x14ac:dyDescent="0.25">
      <c r="A64" s="1"/>
      <c r="B64" s="143" t="s">
        <v>183</v>
      </c>
      <c r="C64" s="144"/>
      <c r="D64" s="144"/>
      <c r="E64" s="144"/>
      <c r="F64" s="145"/>
      <c r="G64" s="61">
        <f>(G59-G60)*(1+'Fane 13. Nøgletal'!C15)</f>
        <v>4247793.3017915413</v>
      </c>
      <c r="H64" s="14" t="s">
        <v>3</v>
      </c>
      <c r="I64" s="1"/>
    </row>
    <row r="65" spans="1:9" x14ac:dyDescent="0.25">
      <c r="A65" s="1"/>
      <c r="B65" s="143" t="s">
        <v>184</v>
      </c>
      <c r="C65" s="144"/>
      <c r="D65" s="144"/>
      <c r="E65" s="144"/>
      <c r="F65" s="145"/>
      <c r="G65" s="61">
        <f>(G64)*'Fane 13. Nøgletal'!C31</f>
        <v>84955.866035830826</v>
      </c>
      <c r="H65" s="14" t="s">
        <v>3</v>
      </c>
      <c r="I65" s="1"/>
    </row>
    <row r="66" spans="1:9" x14ac:dyDescent="0.25">
      <c r="A66" s="1"/>
      <c r="B66" s="65"/>
      <c r="C66" s="66"/>
      <c r="D66" s="66"/>
      <c r="E66" s="66"/>
      <c r="F66" s="66"/>
      <c r="G66" s="66"/>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mergeCells count="40">
    <mergeCell ref="B38:F38"/>
    <mergeCell ref="B39:F39"/>
    <mergeCell ref="B60:F60"/>
    <mergeCell ref="B59:F59"/>
    <mergeCell ref="B58:H58"/>
    <mergeCell ref="B53:H53"/>
    <mergeCell ref="B54:F54"/>
    <mergeCell ref="B55:F55"/>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topLeftCell="A10" zoomScaleNormal="100" workbookViewId="0">
      <selection activeCell="G41" sqref="G41"/>
    </sheetView>
  </sheetViews>
  <sheetFormatPr defaultColWidth="9.140625" defaultRowHeight="15" x14ac:dyDescent="0.25"/>
  <cols>
    <col min="1" max="1" width="3.5703125" style="2" customWidth="1"/>
    <col min="2" max="5" width="9.140625" style="2"/>
    <col min="6" max="6" width="22.28515625" style="2" customWidth="1"/>
    <col min="7" max="7" width="16.85546875" style="2" customWidth="1"/>
    <col min="8" max="8" width="3.28515625" style="2" customWidth="1"/>
    <col min="9" max="9" width="3.4257812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33" t="s">
        <v>102</v>
      </c>
      <c r="C2" s="133"/>
      <c r="D2" s="133"/>
      <c r="E2" s="133"/>
      <c r="F2" s="133"/>
      <c r="G2" s="133"/>
      <c r="H2" s="133"/>
      <c r="I2" s="1"/>
    </row>
    <row r="3" spans="1:9" ht="18" customHeight="1" x14ac:dyDescent="0.25">
      <c r="A3" s="1"/>
      <c r="B3" s="133"/>
      <c r="C3" s="133"/>
      <c r="D3" s="133"/>
      <c r="E3" s="133"/>
      <c r="F3" s="133"/>
      <c r="G3" s="133"/>
      <c r="H3" s="133"/>
      <c r="I3" s="1"/>
    </row>
    <row r="4" spans="1:9" ht="14.25" customHeight="1" x14ac:dyDescent="0.25">
      <c r="A4" s="1"/>
      <c r="B4" s="31"/>
      <c r="C4" s="31"/>
      <c r="D4" s="31"/>
      <c r="E4" s="31"/>
      <c r="F4" s="31"/>
      <c r="G4" s="31"/>
      <c r="H4" s="31"/>
      <c r="I4" s="1"/>
    </row>
    <row r="5" spans="1:9" x14ac:dyDescent="0.25">
      <c r="A5" s="1"/>
      <c r="B5" s="139" t="s">
        <v>53</v>
      </c>
      <c r="C5" s="140"/>
      <c r="D5" s="140"/>
      <c r="E5" s="140"/>
      <c r="F5" s="140"/>
      <c r="G5" s="140"/>
      <c r="H5" s="142"/>
      <c r="I5" s="1"/>
    </row>
    <row r="6" spans="1:9" x14ac:dyDescent="0.25">
      <c r="A6" s="1"/>
      <c r="B6" s="143" t="s">
        <v>58</v>
      </c>
      <c r="C6" s="144"/>
      <c r="D6" s="144"/>
      <c r="E6" s="144"/>
      <c r="F6" s="145"/>
      <c r="G6" s="61">
        <v>5351031.5069074379</v>
      </c>
      <c r="H6" s="14" t="s">
        <v>3</v>
      </c>
      <c r="I6" s="1"/>
    </row>
    <row r="7" spans="1:9" x14ac:dyDescent="0.25">
      <c r="A7" s="1"/>
      <c r="B7" s="143" t="s">
        <v>54</v>
      </c>
      <c r="C7" s="144"/>
      <c r="D7" s="144"/>
      <c r="E7" s="144"/>
      <c r="F7" s="145"/>
      <c r="G7" s="61">
        <f>G6*'Fane 13. Nøgletal'!C20</f>
        <v>48694.386712857689</v>
      </c>
      <c r="H7" s="14" t="s">
        <v>3</v>
      </c>
      <c r="I7" s="1"/>
    </row>
    <row r="8" spans="1:9" x14ac:dyDescent="0.25">
      <c r="A8" s="1"/>
      <c r="B8" s="65"/>
      <c r="C8" s="66"/>
      <c r="D8" s="66"/>
      <c r="E8" s="66"/>
      <c r="F8" s="66"/>
      <c r="G8" s="62"/>
      <c r="H8" s="20"/>
      <c r="I8" s="1"/>
    </row>
    <row r="9" spans="1:9" x14ac:dyDescent="0.25">
      <c r="A9" s="1"/>
      <c r="B9" s="1"/>
      <c r="C9" s="1"/>
      <c r="D9" s="1"/>
      <c r="E9" s="1"/>
      <c r="F9" s="1"/>
      <c r="G9" s="63"/>
      <c r="H9" s="1"/>
      <c r="I9" s="1"/>
    </row>
    <row r="10" spans="1:9" x14ac:dyDescent="0.25">
      <c r="A10" s="1"/>
      <c r="B10" s="139" t="s">
        <v>59</v>
      </c>
      <c r="C10" s="140"/>
      <c r="D10" s="140"/>
      <c r="E10" s="140"/>
      <c r="F10" s="140"/>
      <c r="G10" s="141"/>
      <c r="H10" s="142"/>
      <c r="I10" s="1"/>
    </row>
    <row r="11" spans="1:9" x14ac:dyDescent="0.25">
      <c r="A11" s="1"/>
      <c r="B11" s="143" t="s">
        <v>60</v>
      </c>
      <c r="C11" s="144"/>
      <c r="D11" s="144"/>
      <c r="E11" s="144"/>
      <c r="F11" s="145"/>
      <c r="G11" s="61">
        <f>(G6-G7)*(1+'Fane 13. Nøgletal'!C9)</f>
        <v>5369676.8016210515</v>
      </c>
      <c r="H11" s="14" t="s">
        <v>3</v>
      </c>
      <c r="I11" s="1"/>
    </row>
    <row r="12" spans="1:9" x14ac:dyDescent="0.25">
      <c r="A12" s="1"/>
      <c r="B12" s="146" t="s">
        <v>61</v>
      </c>
      <c r="C12" s="147"/>
      <c r="D12" s="147"/>
      <c r="E12" s="147"/>
      <c r="F12" s="148"/>
      <c r="G12" s="61">
        <v>0</v>
      </c>
      <c r="H12" s="14" t="s">
        <v>3</v>
      </c>
      <c r="I12" s="1"/>
    </row>
    <row r="13" spans="1:9" x14ac:dyDescent="0.25">
      <c r="A13" s="1"/>
      <c r="B13" s="143" t="s">
        <v>62</v>
      </c>
      <c r="C13" s="144"/>
      <c r="D13" s="144"/>
      <c r="E13" s="144"/>
      <c r="F13" s="145"/>
      <c r="G13" s="61">
        <f>G11*'Fane 13. Nøgletal'!C20+G12*'Fane 13. Nøgletal'!C21</f>
        <v>48864.058894751572</v>
      </c>
      <c r="H13" s="14" t="s">
        <v>3</v>
      </c>
      <c r="I13" s="1"/>
    </row>
    <row r="14" spans="1:9" x14ac:dyDescent="0.25">
      <c r="A14" s="1"/>
      <c r="B14" s="65"/>
      <c r="C14" s="66"/>
      <c r="D14" s="66"/>
      <c r="E14" s="66"/>
      <c r="F14" s="66"/>
      <c r="G14" s="62"/>
      <c r="H14" s="20"/>
      <c r="I14" s="1"/>
    </row>
    <row r="15" spans="1:9" x14ac:dyDescent="0.25">
      <c r="A15" s="1"/>
      <c r="B15" s="1"/>
      <c r="C15" s="1"/>
      <c r="D15" s="1"/>
      <c r="E15" s="1"/>
      <c r="F15" s="1"/>
      <c r="G15" s="63"/>
      <c r="H15" s="1"/>
      <c r="I15" s="1"/>
    </row>
    <row r="16" spans="1:9" x14ac:dyDescent="0.25">
      <c r="A16" s="1"/>
      <c r="B16" s="139" t="s">
        <v>63</v>
      </c>
      <c r="C16" s="140"/>
      <c r="D16" s="140"/>
      <c r="E16" s="140"/>
      <c r="F16" s="140"/>
      <c r="G16" s="141"/>
      <c r="H16" s="142"/>
      <c r="I16" s="1"/>
    </row>
    <row r="17" spans="1:9" x14ac:dyDescent="0.25">
      <c r="A17" s="1"/>
      <c r="B17" s="143" t="s">
        <v>64</v>
      </c>
      <c r="C17" s="144"/>
      <c r="D17" s="144"/>
      <c r="E17" s="144"/>
      <c r="F17" s="145"/>
      <c r="G17" s="61">
        <f>(G11+G12-G13)*(1+'Fane 13. Nøgletal'!C11)</f>
        <v>5410734.4780783737</v>
      </c>
      <c r="H17" s="14" t="s">
        <v>3</v>
      </c>
      <c r="I17" s="1"/>
    </row>
    <row r="18" spans="1:9" x14ac:dyDescent="0.25">
      <c r="A18" s="1"/>
      <c r="B18" s="143" t="s">
        <v>120</v>
      </c>
      <c r="C18" s="144"/>
      <c r="D18" s="144"/>
      <c r="E18" s="144"/>
      <c r="F18" s="145"/>
      <c r="G18" s="61">
        <v>88942.149730417295</v>
      </c>
      <c r="H18" s="14" t="s">
        <v>3</v>
      </c>
      <c r="I18" s="1"/>
    </row>
    <row r="19" spans="1:9" x14ac:dyDescent="0.25">
      <c r="A19" s="1"/>
      <c r="B19" s="146" t="s">
        <v>65</v>
      </c>
      <c r="C19" s="147"/>
      <c r="D19" s="147"/>
      <c r="E19" s="147"/>
      <c r="F19" s="148"/>
      <c r="G19" s="61">
        <v>27664.892324329994</v>
      </c>
      <c r="H19" s="14" t="s">
        <v>3</v>
      </c>
      <c r="I19" s="1"/>
    </row>
    <row r="20" spans="1:9" x14ac:dyDescent="0.25">
      <c r="A20" s="1"/>
      <c r="B20" s="143" t="s">
        <v>66</v>
      </c>
      <c r="C20" s="144"/>
      <c r="D20" s="144"/>
      <c r="E20" s="144"/>
      <c r="F20" s="145"/>
      <c r="G20" s="61">
        <f>SUM(G17:G19)*'Fane 13. Nøgletal'!C22</f>
        <v>48087.871225158146</v>
      </c>
      <c r="H20" s="14" t="s">
        <v>3</v>
      </c>
      <c r="I20" s="1"/>
    </row>
    <row r="21" spans="1:9" x14ac:dyDescent="0.25">
      <c r="A21" s="1"/>
      <c r="B21" s="65"/>
      <c r="C21" s="66"/>
      <c r="D21" s="66"/>
      <c r="E21" s="66"/>
      <c r="F21" s="66"/>
      <c r="G21" s="62"/>
      <c r="H21" s="20"/>
      <c r="I21" s="1"/>
    </row>
    <row r="22" spans="1:9" x14ac:dyDescent="0.25">
      <c r="A22" s="1"/>
      <c r="B22" s="1"/>
      <c r="C22" s="1"/>
      <c r="D22" s="1"/>
      <c r="E22" s="1"/>
      <c r="F22" s="1"/>
      <c r="G22" s="63"/>
      <c r="H22" s="1"/>
      <c r="I22" s="1"/>
    </row>
    <row r="23" spans="1:9" x14ac:dyDescent="0.25">
      <c r="A23" s="1"/>
      <c r="B23" s="139" t="s">
        <v>67</v>
      </c>
      <c r="C23" s="140"/>
      <c r="D23" s="140"/>
      <c r="E23" s="140"/>
      <c r="F23" s="140"/>
      <c r="G23" s="141"/>
      <c r="H23" s="142"/>
      <c r="I23" s="1"/>
    </row>
    <row r="24" spans="1:9" x14ac:dyDescent="0.25">
      <c r="A24" s="1"/>
      <c r="B24" s="143" t="s">
        <v>68</v>
      </c>
      <c r="C24" s="144"/>
      <c r="D24" s="144"/>
      <c r="E24" s="144"/>
      <c r="F24" s="145"/>
      <c r="G24" s="61">
        <f>(G17+G18+G19-G20)*(1+'Fane 13. Nøgletal'!C11)</f>
        <v>5571853.035574507</v>
      </c>
      <c r="H24" s="14" t="s">
        <v>3</v>
      </c>
      <c r="I24" s="1"/>
    </row>
    <row r="25" spans="1:9" x14ac:dyDescent="0.25">
      <c r="A25" s="1"/>
      <c r="B25" s="146" t="s">
        <v>69</v>
      </c>
      <c r="C25" s="147"/>
      <c r="D25" s="147"/>
      <c r="E25" s="147"/>
      <c r="F25" s="148"/>
      <c r="G25" s="61">
        <v>23563.317235708804</v>
      </c>
      <c r="H25" s="14" t="s">
        <v>3</v>
      </c>
      <c r="I25" s="1"/>
    </row>
    <row r="26" spans="1:9" x14ac:dyDescent="0.25">
      <c r="A26" s="1"/>
      <c r="B26" s="143" t="s">
        <v>70</v>
      </c>
      <c r="C26" s="144"/>
      <c r="D26" s="144"/>
      <c r="E26" s="144"/>
      <c r="F26" s="145"/>
      <c r="G26" s="61">
        <f>G24*'Fane 13. Nøgletal'!C22+G25*'Fane 13. Nøgletal'!C23</f>
        <v>49144.319618992333</v>
      </c>
      <c r="H26" s="14" t="s">
        <v>3</v>
      </c>
      <c r="I26" s="1"/>
    </row>
    <row r="27" spans="1:9" x14ac:dyDescent="0.25">
      <c r="A27" s="1"/>
      <c r="B27" s="65"/>
      <c r="C27" s="66"/>
      <c r="D27" s="66"/>
      <c r="E27" s="66"/>
      <c r="F27" s="66"/>
      <c r="G27" s="62"/>
      <c r="H27" s="20"/>
      <c r="I27" s="1"/>
    </row>
    <row r="28" spans="1:9" x14ac:dyDescent="0.25">
      <c r="A28" s="1"/>
      <c r="B28" s="1"/>
      <c r="C28" s="1"/>
      <c r="D28" s="1"/>
      <c r="E28" s="1"/>
      <c r="F28" s="1"/>
      <c r="G28" s="63"/>
      <c r="H28" s="1"/>
      <c r="I28" s="1"/>
    </row>
    <row r="29" spans="1:9" x14ac:dyDescent="0.25">
      <c r="A29" s="1"/>
      <c r="B29" s="139" t="s">
        <v>71</v>
      </c>
      <c r="C29" s="140"/>
      <c r="D29" s="140"/>
      <c r="E29" s="140"/>
      <c r="F29" s="140"/>
      <c r="G29" s="141"/>
      <c r="H29" s="142"/>
      <c r="I29" s="1"/>
    </row>
    <row r="30" spans="1:9" x14ac:dyDescent="0.25">
      <c r="A30" s="1"/>
      <c r="B30" s="143" t="s">
        <v>72</v>
      </c>
      <c r="C30" s="144"/>
      <c r="D30" s="144"/>
      <c r="E30" s="144"/>
      <c r="F30" s="145"/>
      <c r="G30" s="61">
        <f>G24*(1-'Fane 13. Nøgletal'!C22)*(1+'Fane 13. Nøgletal'!C11)+G25*(1-'Fane 13. Nøgletal'!C23)*(1+'Fane 13. Nøgletal'!C12)</f>
        <v>5640068.134085428</v>
      </c>
      <c r="H30" s="14" t="s">
        <v>3</v>
      </c>
      <c r="I30" s="1"/>
    </row>
    <row r="31" spans="1:9" x14ac:dyDescent="0.25">
      <c r="A31" s="1"/>
      <c r="B31" s="149" t="s">
        <v>117</v>
      </c>
      <c r="C31" s="150"/>
      <c r="D31" s="150"/>
      <c r="E31" s="150"/>
      <c r="F31" s="151"/>
      <c r="G31" s="61">
        <f>G25*(1-'Fane 13. Nøgletal'!C23)*(1+'Fane 13. Nøgletal'!C12)</f>
        <v>23345.133171031102</v>
      </c>
      <c r="H31" s="14" t="s">
        <v>3</v>
      </c>
      <c r="I31" s="1"/>
    </row>
    <row r="32" spans="1:9" x14ac:dyDescent="0.25">
      <c r="A32" s="1"/>
      <c r="B32" s="143" t="s">
        <v>135</v>
      </c>
      <c r="C32" s="144"/>
      <c r="D32" s="144"/>
      <c r="E32" s="144"/>
      <c r="F32" s="145"/>
      <c r="G32" s="61">
        <v>0</v>
      </c>
      <c r="H32" s="14" t="s">
        <v>3</v>
      </c>
      <c r="I32" s="1"/>
    </row>
    <row r="33" spans="1:9" x14ac:dyDescent="0.25">
      <c r="A33" s="1"/>
      <c r="B33" s="143" t="s">
        <v>73</v>
      </c>
      <c r="C33" s="144"/>
      <c r="D33" s="144"/>
      <c r="E33" s="144"/>
      <c r="F33" s="145"/>
      <c r="G33" s="61">
        <f>(G30-G31)*'Fane 13. Nøgletal'!C22+G31*'Fane 13. Nøgletal'!C23+G32*'Fane 13. Nøgletal'!C24</f>
        <v>49528.491890012534</v>
      </c>
      <c r="H33" s="14" t="s">
        <v>3</v>
      </c>
      <c r="I33" s="1"/>
    </row>
    <row r="34" spans="1:9" x14ac:dyDescent="0.25">
      <c r="A34" s="1"/>
      <c r="B34" s="65"/>
      <c r="C34" s="66"/>
      <c r="D34" s="66"/>
      <c r="E34" s="66"/>
      <c r="F34" s="66"/>
      <c r="G34" s="62"/>
      <c r="H34" s="20"/>
      <c r="I34" s="1"/>
    </row>
    <row r="35" spans="1:9" x14ac:dyDescent="0.25">
      <c r="A35" s="1"/>
      <c r="B35" s="1"/>
      <c r="C35" s="1"/>
      <c r="D35" s="1"/>
      <c r="E35" s="1"/>
      <c r="F35" s="1"/>
      <c r="G35" s="63"/>
      <c r="H35" s="1"/>
      <c r="I35" s="1"/>
    </row>
    <row r="36" spans="1:9" x14ac:dyDescent="0.25">
      <c r="A36" s="1"/>
      <c r="B36" s="139" t="s">
        <v>99</v>
      </c>
      <c r="C36" s="140"/>
      <c r="D36" s="140"/>
      <c r="E36" s="140"/>
      <c r="F36" s="140"/>
      <c r="G36" s="141"/>
      <c r="H36" s="142"/>
      <c r="I36" s="1"/>
    </row>
    <row r="37" spans="1:9" x14ac:dyDescent="0.25">
      <c r="A37" s="1"/>
      <c r="B37" s="143" t="s">
        <v>76</v>
      </c>
      <c r="C37" s="144"/>
      <c r="D37" s="144"/>
      <c r="E37" s="144"/>
      <c r="F37" s="145"/>
      <c r="G37" s="61">
        <f>(G30-G31)*(1-'Fane 13. Nøgletal'!C22)*(1+'Fane 13. Nøgletal'!C11)+G31*(1-'Fane 13. Nøgletal'!C23)*(1+'Fane 13. Nøgletal'!C12)+G32*(1-'Fane 13. Nøgletal'!C24)*(1+'Fane 13. Nøgletal'!C13)</f>
        <v>5685083.2721164068</v>
      </c>
      <c r="H37" s="14" t="s">
        <v>3</v>
      </c>
      <c r="I37" s="1"/>
    </row>
    <row r="38" spans="1:9" x14ac:dyDescent="0.25">
      <c r="A38" s="1"/>
      <c r="B38" s="149" t="s">
        <v>117</v>
      </c>
      <c r="C38" s="150"/>
      <c r="D38" s="150"/>
      <c r="E38" s="150"/>
      <c r="F38" s="151"/>
      <c r="G38" s="61">
        <f>G31*(1-'Fane 13. Nøgletal'!C23)*(1+'Fane 13. Nøgletal'!C12)</f>
        <v>23128.969377336605</v>
      </c>
      <c r="H38" s="14" t="s">
        <v>3</v>
      </c>
      <c r="I38" s="1"/>
    </row>
    <row r="39" spans="1:9" x14ac:dyDescent="0.25">
      <c r="A39" s="1"/>
      <c r="B39" s="149" t="s">
        <v>137</v>
      </c>
      <c r="C39" s="150"/>
      <c r="D39" s="150"/>
      <c r="E39" s="150"/>
      <c r="F39" s="151"/>
      <c r="G39" s="61">
        <v>0</v>
      </c>
      <c r="H39" s="14" t="s">
        <v>3</v>
      </c>
      <c r="I39" s="1"/>
    </row>
    <row r="40" spans="1:9" x14ac:dyDescent="0.25">
      <c r="A40" s="1"/>
      <c r="B40" s="143" t="s">
        <v>160</v>
      </c>
      <c r="C40" s="144"/>
      <c r="D40" s="144"/>
      <c r="E40" s="144"/>
      <c r="F40" s="145"/>
      <c r="G40" s="61">
        <f>'Fane 3. Omkostninger i ØR2022'!E15*(1+'Fane 13. Nøgletal'!C14)</f>
        <v>816507.39036905009</v>
      </c>
      <c r="H40" s="14" t="s">
        <v>3</v>
      </c>
      <c r="I40" s="1"/>
    </row>
    <row r="41" spans="1:9" x14ac:dyDescent="0.25">
      <c r="A41" s="1"/>
      <c r="B41" s="143" t="s">
        <v>141</v>
      </c>
      <c r="C41" s="144"/>
      <c r="D41" s="144"/>
      <c r="E41" s="144"/>
      <c r="F41" s="145"/>
      <c r="G41" s="61">
        <f>(G37-SUM(G38:G39))*'Fane 13. Nøgletal'!C22+G38*'Fane 13. Nøgletal'!C23+(G39)*'Fane 13. Nøgletal'!C24+(G40)*'Fane 13. Nøgletal'!C25</f>
        <v>62000.174541608205</v>
      </c>
      <c r="H41" s="14" t="s">
        <v>3</v>
      </c>
      <c r="I41" s="1"/>
    </row>
    <row r="42" spans="1:9" x14ac:dyDescent="0.25">
      <c r="A42" s="1"/>
      <c r="B42" s="65"/>
      <c r="C42" s="66"/>
      <c r="D42" s="66"/>
      <c r="E42" s="66"/>
      <c r="F42" s="66"/>
      <c r="G42" s="62"/>
      <c r="H42" s="20"/>
      <c r="I42" s="1"/>
    </row>
    <row r="43" spans="1:9" x14ac:dyDescent="0.25">
      <c r="A43" s="1"/>
      <c r="B43" s="1"/>
      <c r="C43" s="1"/>
      <c r="D43" s="1"/>
      <c r="E43" s="1"/>
      <c r="F43" s="1"/>
      <c r="G43" s="63"/>
      <c r="H43" s="1"/>
      <c r="I43" s="1"/>
    </row>
    <row r="44" spans="1:9" x14ac:dyDescent="0.25">
      <c r="A44" s="1"/>
      <c r="B44" s="139" t="s">
        <v>209</v>
      </c>
      <c r="C44" s="140"/>
      <c r="D44" s="140"/>
      <c r="E44" s="140"/>
      <c r="F44" s="140"/>
      <c r="G44" s="141"/>
      <c r="H44" s="142"/>
      <c r="I44" s="1"/>
    </row>
    <row r="45" spans="1:9" x14ac:dyDescent="0.25">
      <c r="A45" s="1"/>
      <c r="B45" s="143" t="s">
        <v>75</v>
      </c>
      <c r="C45" s="144"/>
      <c r="D45" s="144"/>
      <c r="E45" s="144"/>
      <c r="F45" s="145"/>
      <c r="G45" s="61">
        <f>(G37+G40-G41)*(1+'Fane 13. Nøgletal'!C15)</f>
        <v>6668839.9093146501</v>
      </c>
      <c r="H45" s="14" t="s">
        <v>3</v>
      </c>
      <c r="I45" s="1"/>
    </row>
    <row r="46" spans="1:9" x14ac:dyDescent="0.25">
      <c r="A46" s="1"/>
      <c r="B46" s="77" t="s">
        <v>217</v>
      </c>
      <c r="C46" s="75"/>
      <c r="D46" s="75"/>
      <c r="E46" s="75"/>
      <c r="F46" s="76"/>
      <c r="G46" s="61">
        <f>SUM('Fane 2.1. Økonomisk ramme 2023'!C11,'Fane 2.1. Økonomisk ramme 2023'!C15,-'Fane 12. Bortfald'!E13)*(1+'Fane 13. Nøgletal'!C15)</f>
        <v>0</v>
      </c>
      <c r="H46" s="14" t="s">
        <v>3</v>
      </c>
      <c r="I46" s="1"/>
    </row>
    <row r="47" spans="1:9" x14ac:dyDescent="0.25">
      <c r="A47" s="1"/>
      <c r="B47" s="143" t="s">
        <v>74</v>
      </c>
      <c r="C47" s="144"/>
      <c r="D47" s="144"/>
      <c r="E47" s="144"/>
      <c r="F47" s="145"/>
      <c r="G47" s="61">
        <f>(G45+G46)*'Fane 13. Nøgletal'!C26</f>
        <v>0</v>
      </c>
      <c r="H47" s="14" t="s">
        <v>3</v>
      </c>
      <c r="I47" s="1"/>
    </row>
    <row r="48" spans="1:9" x14ac:dyDescent="0.25">
      <c r="A48" s="1"/>
      <c r="B48" s="65"/>
      <c r="C48" s="66"/>
      <c r="D48" s="66"/>
      <c r="E48" s="66"/>
      <c r="F48" s="66"/>
      <c r="G48" s="62"/>
      <c r="H48" s="20"/>
      <c r="I48" s="1"/>
    </row>
    <row r="49" spans="1:9" x14ac:dyDescent="0.25">
      <c r="A49" s="1"/>
      <c r="B49" s="1"/>
      <c r="C49" s="1"/>
      <c r="D49" s="1"/>
      <c r="E49" s="1"/>
      <c r="F49" s="1"/>
      <c r="G49" s="63"/>
      <c r="H49" s="1"/>
      <c r="I49" s="1"/>
    </row>
    <row r="50" spans="1:9" x14ac:dyDescent="0.25">
      <c r="A50" s="1"/>
      <c r="B50" s="1"/>
      <c r="C50" s="1"/>
      <c r="D50" s="1"/>
      <c r="E50" s="1"/>
      <c r="F50" s="1"/>
      <c r="G50" s="63"/>
      <c r="H50" s="1"/>
      <c r="I50" s="1"/>
    </row>
    <row r="51" spans="1:9" x14ac:dyDescent="0.25">
      <c r="A51" s="1"/>
      <c r="B51" s="139" t="s">
        <v>210</v>
      </c>
      <c r="C51" s="140"/>
      <c r="D51" s="140"/>
      <c r="E51" s="140"/>
      <c r="F51" s="140"/>
      <c r="G51" s="141"/>
      <c r="H51" s="142"/>
      <c r="I51" s="1"/>
    </row>
    <row r="52" spans="1:9" x14ac:dyDescent="0.25">
      <c r="A52" s="1"/>
      <c r="B52" s="143" t="s">
        <v>138</v>
      </c>
      <c r="C52" s="144"/>
      <c r="D52" s="144"/>
      <c r="E52" s="144"/>
      <c r="F52" s="145"/>
      <c r="G52" s="61">
        <f>(G45+G46-G47)*(1+'Fane 13. Nøgletal'!C15)</f>
        <v>6906250.610086252</v>
      </c>
      <c r="H52" s="14" t="s">
        <v>3</v>
      </c>
      <c r="I52" s="1"/>
    </row>
    <row r="53" spans="1:9" x14ac:dyDescent="0.25">
      <c r="A53" s="1"/>
      <c r="B53" s="143" t="s">
        <v>139</v>
      </c>
      <c r="C53" s="144"/>
      <c r="D53" s="144"/>
      <c r="E53" s="144"/>
      <c r="F53" s="145"/>
      <c r="G53" s="61">
        <f>(G52)*'Fane 13. Nøgletal'!C26</f>
        <v>0</v>
      </c>
      <c r="H53" s="14" t="s">
        <v>3</v>
      </c>
      <c r="I53" s="1"/>
    </row>
    <row r="54" spans="1:9" x14ac:dyDescent="0.25">
      <c r="A54" s="1"/>
      <c r="B54" s="65"/>
      <c r="C54" s="66"/>
      <c r="D54" s="66"/>
      <c r="E54" s="66"/>
      <c r="F54" s="66"/>
      <c r="G54" s="62"/>
      <c r="H54" s="20"/>
      <c r="I54" s="1"/>
    </row>
    <row r="55" spans="1:9" x14ac:dyDescent="0.25">
      <c r="A55" s="1"/>
      <c r="B55" s="1"/>
      <c r="C55" s="1"/>
      <c r="D55" s="1"/>
      <c r="E55" s="1"/>
      <c r="F55" s="1"/>
      <c r="G55" s="63"/>
      <c r="H55" s="1"/>
      <c r="I55" s="1"/>
    </row>
    <row r="56" spans="1:9" x14ac:dyDescent="0.25">
      <c r="A56" s="1"/>
      <c r="B56" s="139" t="s">
        <v>152</v>
      </c>
      <c r="C56" s="140"/>
      <c r="D56" s="140"/>
      <c r="E56" s="140"/>
      <c r="F56" s="140"/>
      <c r="G56" s="141"/>
      <c r="H56" s="142"/>
      <c r="I56" s="1"/>
    </row>
    <row r="57" spans="1:9" x14ac:dyDescent="0.25">
      <c r="A57" s="1"/>
      <c r="B57" s="143" t="s">
        <v>153</v>
      </c>
      <c r="C57" s="144"/>
      <c r="D57" s="144"/>
      <c r="E57" s="144"/>
      <c r="F57" s="145"/>
      <c r="G57" s="61">
        <f>(G52-G53)*(1+'Fane 13. Nøgletal'!C15)</f>
        <v>7152113.1318053231</v>
      </c>
      <c r="H57" s="14" t="s">
        <v>3</v>
      </c>
      <c r="I57" s="1"/>
    </row>
    <row r="58" spans="1:9" x14ac:dyDescent="0.25">
      <c r="A58" s="1"/>
      <c r="B58" s="143" t="s">
        <v>154</v>
      </c>
      <c r="C58" s="144"/>
      <c r="D58" s="144"/>
      <c r="E58" s="144"/>
      <c r="F58" s="145"/>
      <c r="G58" s="61">
        <f>(G57)*'Fane 13. Nøgletal'!C26</f>
        <v>0</v>
      </c>
      <c r="H58" s="14" t="s">
        <v>3</v>
      </c>
      <c r="I58" s="1"/>
    </row>
    <row r="59" spans="1:9" x14ac:dyDescent="0.25">
      <c r="A59" s="1"/>
      <c r="B59" s="65"/>
      <c r="C59" s="66"/>
      <c r="D59" s="66"/>
      <c r="E59" s="66"/>
      <c r="F59" s="66"/>
      <c r="G59" s="62"/>
      <c r="H59" s="20"/>
      <c r="I59" s="1"/>
    </row>
    <row r="60" spans="1:9" x14ac:dyDescent="0.25">
      <c r="A60" s="1"/>
      <c r="B60" s="1"/>
      <c r="C60" s="1"/>
      <c r="D60" s="1"/>
      <c r="E60" s="1"/>
      <c r="F60" s="1"/>
      <c r="G60" s="63"/>
      <c r="H60" s="1"/>
      <c r="I60" s="1"/>
    </row>
    <row r="61" spans="1:9" x14ac:dyDescent="0.25">
      <c r="A61" s="1"/>
      <c r="B61" s="139" t="s">
        <v>185</v>
      </c>
      <c r="C61" s="140"/>
      <c r="D61" s="140"/>
      <c r="E61" s="140"/>
      <c r="F61" s="140"/>
      <c r="G61" s="141"/>
      <c r="H61" s="142"/>
      <c r="I61" s="1"/>
    </row>
    <row r="62" spans="1:9" x14ac:dyDescent="0.25">
      <c r="A62" s="1"/>
      <c r="B62" s="143" t="s">
        <v>186</v>
      </c>
      <c r="C62" s="144"/>
      <c r="D62" s="144"/>
      <c r="E62" s="144"/>
      <c r="F62" s="145"/>
      <c r="G62" s="61">
        <f>(G57-G58)*(1+'Fane 13. Nøgletal'!C15)</f>
        <v>7406728.3592975931</v>
      </c>
      <c r="H62" s="14" t="s">
        <v>3</v>
      </c>
      <c r="I62" s="1"/>
    </row>
    <row r="63" spans="1:9" x14ac:dyDescent="0.25">
      <c r="A63" s="1"/>
      <c r="B63" s="143" t="s">
        <v>187</v>
      </c>
      <c r="C63" s="144"/>
      <c r="D63" s="144"/>
      <c r="E63" s="144"/>
      <c r="F63" s="145"/>
      <c r="G63" s="61">
        <f>(G62)*'Fane 13. Nøgletal'!C26</f>
        <v>0</v>
      </c>
      <c r="H63" s="14" t="s">
        <v>3</v>
      </c>
      <c r="I63" s="1"/>
    </row>
    <row r="64" spans="1:9" x14ac:dyDescent="0.25">
      <c r="A64" s="1"/>
      <c r="B64" s="65"/>
      <c r="C64" s="66"/>
      <c r="D64" s="66"/>
      <c r="E64" s="66"/>
      <c r="F64" s="66"/>
      <c r="G64" s="66"/>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mergeCells count="40">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 ref="B16:H16"/>
    <mergeCell ref="B17:F17"/>
    <mergeCell ref="B18:F18"/>
    <mergeCell ref="B24:F24"/>
    <mergeCell ref="B19:F19"/>
    <mergeCell ref="B7:F7"/>
    <mergeCell ref="B10:H10"/>
    <mergeCell ref="B11:F11"/>
    <mergeCell ref="B12:F12"/>
    <mergeCell ref="B13:F13"/>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4" t="s">
        <v>86</v>
      </c>
      <c r="C3" s="114"/>
      <c r="D3" s="114"/>
      <c r="E3" s="114"/>
      <c r="F3" s="114"/>
      <c r="G3" s="114"/>
      <c r="H3" s="1"/>
    </row>
    <row r="4" spans="1:8" ht="15" customHeight="1" x14ac:dyDescent="0.25">
      <c r="A4" s="1"/>
      <c r="B4" s="114"/>
      <c r="C4" s="114"/>
      <c r="D4" s="114"/>
      <c r="E4" s="114"/>
      <c r="F4" s="114"/>
      <c r="G4" s="11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9" t="s">
        <v>9</v>
      </c>
      <c r="C8" s="140"/>
      <c r="D8" s="140"/>
      <c r="E8" s="140"/>
      <c r="F8" s="140"/>
      <c r="G8" s="142"/>
      <c r="H8" s="1"/>
    </row>
    <row r="9" spans="1:8" x14ac:dyDescent="0.25">
      <c r="A9" s="1"/>
      <c r="B9" s="85" t="s">
        <v>261</v>
      </c>
      <c r="C9" s="86"/>
      <c r="D9" s="86"/>
      <c r="E9" s="86"/>
      <c r="F9" s="87"/>
      <c r="G9" s="35">
        <v>0</v>
      </c>
      <c r="H9" s="1"/>
    </row>
    <row r="10" spans="1:8" x14ac:dyDescent="0.25">
      <c r="A10" s="1"/>
      <c r="B10" s="82"/>
      <c r="C10" s="83"/>
      <c r="D10" s="83"/>
      <c r="E10" s="83"/>
      <c r="F10" s="83"/>
      <c r="G10" s="20"/>
      <c r="H10" s="1"/>
    </row>
    <row r="11" spans="1:8" x14ac:dyDescent="0.25">
      <c r="A11" s="1"/>
      <c r="B11" s="153"/>
      <c r="C11" s="153"/>
      <c r="D11" s="153"/>
      <c r="E11" s="153"/>
      <c r="F11" s="153"/>
      <c r="G11" s="153"/>
      <c r="H11" s="1"/>
    </row>
    <row r="12" spans="1:8" ht="39" customHeight="1" x14ac:dyDescent="0.25">
      <c r="A12" s="18"/>
      <c r="B12" s="152" t="s">
        <v>211</v>
      </c>
      <c r="C12" s="152"/>
      <c r="D12" s="152"/>
      <c r="E12" s="152"/>
      <c r="F12" s="152"/>
      <c r="G12" s="152"/>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vEc2wUZhZD2/nMxPkl0nLVbE4NJ6pMq/iSEkEga+vZTskGRm4FiDncr2Y5fhNZDpouXQJ+uGRRFSWqKSw1mHGA==" saltValue="Q8jjeKKLuA4xnOFA67CB3Q=="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2022-12-01T09:37:20Z</dcterms:modified>
</cp:coreProperties>
</file>