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HORSENS VAND AS (S048)\ØR2022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2" sheetId="2" r:id="rId2"/>
    <sheet name="Fane 2.2. Økonomisk ramme 2023" sheetId="15" r:id="rId3"/>
    <sheet name="Fane 2.3. Økonomisk ramme 2024" sheetId="22" r:id="rId4"/>
    <sheet name="Fane 2.4. Økonomisk ramme 2025" sheetId="23" r:id="rId5"/>
    <sheet name="Fane 3. Omkostninger i ØR2021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20" sheetId="32" r:id="rId11"/>
    <sheet name="Fane 8. Korrektion af ØR2020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virksomhed" sheetId="29" r:id="rId17"/>
    <sheet name="Fane 13. Bortfald" sheetId="21" r:id="rId18"/>
    <sheet name="Fane 14. Nøgletal" sheetId="26" r:id="rId19"/>
  </sheets>
  <externalReferences>
    <externalReference r:id="rId20"/>
  </externalReferences>
  <definedNames>
    <definedName name="GenKravAnlæg19">[1]Nøgletal!$C$13</definedName>
    <definedName name="GenKravDrift19">[1]Nøgletal!$B$13</definedName>
    <definedName name="GenKravSamlet19">[1]Nøgletal!$D$13</definedName>
    <definedName name="Pris19">[1]Nøgletal!$C$5</definedName>
  </definedNames>
  <calcPr calcId="162913"/>
</workbook>
</file>

<file path=xl/calcChain.xml><?xml version="1.0" encoding="utf-8"?>
<calcChain xmlns="http://schemas.openxmlformats.org/spreadsheetml/2006/main">
  <c r="E13" i="37" l="1"/>
  <c r="C13" i="37"/>
  <c r="E16" i="40" l="1"/>
  <c r="E12" i="40"/>
  <c r="E25" i="32" l="1"/>
  <c r="E30" i="32" s="1"/>
  <c r="E32" i="32" s="1"/>
  <c r="C26" i="15" l="1"/>
  <c r="C32" i="2"/>
  <c r="C15" i="19"/>
  <c r="G32" i="36" l="1"/>
  <c r="G24" i="36"/>
  <c r="G31" i="36" s="1"/>
  <c r="G6" i="36"/>
  <c r="G10" i="36" s="1"/>
  <c r="G34" i="30"/>
  <c r="G13" i="36" l="1"/>
  <c r="G17" i="36" s="1"/>
  <c r="G19" i="36" l="1"/>
  <c r="G23" i="36"/>
  <c r="G30" i="36" s="1"/>
  <c r="G34" i="36" l="1"/>
  <c r="E23" i="27" s="1"/>
  <c r="G38" i="36" l="1"/>
  <c r="E11" i="20" l="1"/>
  <c r="E10" i="20" l="1"/>
  <c r="E12" i="20" s="1"/>
  <c r="E10" i="11" l="1"/>
  <c r="G7" i="30" l="1"/>
  <c r="G11" i="30" s="1"/>
  <c r="E29" i="20" l="1"/>
  <c r="E23" i="20"/>
  <c r="E17" i="20"/>
  <c r="E17" i="40" l="1"/>
  <c r="C30" i="2" s="1"/>
  <c r="E28" i="20"/>
  <c r="E16" i="20"/>
  <c r="E18" i="20" s="1"/>
  <c r="E22" i="20"/>
  <c r="E24" i="20" s="1"/>
  <c r="C19" i="22" s="1"/>
  <c r="C20" i="15" l="1"/>
  <c r="C24" i="2"/>
  <c r="E30" i="20"/>
  <c r="C19" i="23" s="1"/>
  <c r="E29" i="21" l="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C9" i="22" l="1"/>
  <c r="C10" i="23"/>
  <c r="C10" i="22"/>
  <c r="C10" i="15"/>
  <c r="C9" i="23"/>
  <c r="C11" i="15"/>
  <c r="E35" i="39"/>
  <c r="C35" i="39"/>
  <c r="E27" i="39"/>
  <c r="C27" i="39"/>
  <c r="E19" i="39"/>
  <c r="C19" i="39"/>
  <c r="E11" i="39"/>
  <c r="E13" i="39" s="1"/>
  <c r="C11" i="39"/>
  <c r="E12" i="39" l="1"/>
  <c r="C21" i="39"/>
  <c r="C20" i="39"/>
  <c r="C37" i="39"/>
  <c r="C36" i="39"/>
  <c r="E21" i="39"/>
  <c r="E20" i="39"/>
  <c r="E37" i="39"/>
  <c r="E36" i="39"/>
  <c r="C13" i="39"/>
  <c r="C12" i="39"/>
  <c r="C29" i="39"/>
  <c r="C28" i="39"/>
  <c r="E29" i="39"/>
  <c r="E28" i="39"/>
  <c r="C30" i="39" l="1"/>
  <c r="C21" i="22" s="1"/>
  <c r="C38" i="39"/>
  <c r="C21" i="23" s="1"/>
  <c r="C22" i="39"/>
  <c r="C22" i="15" s="1"/>
  <c r="E22" i="39"/>
  <c r="C23" i="15" s="1"/>
  <c r="E30" i="39"/>
  <c r="C22" i="22" s="1"/>
  <c r="E38" i="39"/>
  <c r="C22" i="23" s="1"/>
  <c r="E14" i="39"/>
  <c r="C27" i="2" s="1"/>
  <c r="C14" i="39"/>
  <c r="C26" i="2" s="1"/>
  <c r="C23" i="22" l="1"/>
  <c r="C23" i="23"/>
  <c r="C24" i="15"/>
  <c r="C28" i="2"/>
  <c r="G26" i="36" l="1"/>
  <c r="G15" i="30"/>
  <c r="G19" i="30" l="1"/>
  <c r="G25" i="30" s="1"/>
  <c r="G21" i="30" l="1"/>
  <c r="G28" i="30"/>
  <c r="G32" i="30"/>
  <c r="F11" i="11" l="1"/>
  <c r="C10" i="37" s="1"/>
  <c r="G11" i="11"/>
  <c r="C14" i="37" l="1"/>
  <c r="C10" i="2" s="1"/>
  <c r="E11" i="21"/>
  <c r="C11" i="21"/>
  <c r="E11" i="29"/>
  <c r="C11" i="29"/>
  <c r="C16" i="19"/>
  <c r="C17" i="23" l="1"/>
  <c r="C18" i="15"/>
  <c r="C22" i="2"/>
  <c r="E12" i="29"/>
  <c r="C15" i="2" s="1"/>
  <c r="C12" i="29"/>
  <c r="C14" i="2" s="1"/>
  <c r="C12" i="21"/>
  <c r="C12" i="2" s="1"/>
  <c r="E12" i="21"/>
  <c r="C13" i="2" s="1"/>
  <c r="C17" i="22"/>
  <c r="G41" i="30" l="1"/>
  <c r="G47" i="30" s="1"/>
  <c r="G36" i="30"/>
  <c r="E11" i="11"/>
  <c r="E10" i="37" l="1"/>
  <c r="E14" i="37" s="1"/>
  <c r="C11" i="2" s="1"/>
  <c r="G39" i="36" s="1"/>
  <c r="G45" i="36" s="1"/>
  <c r="G40" i="30"/>
  <c r="G42" i="30" s="1"/>
  <c r="G46" i="30" s="1"/>
  <c r="G49" i="30" s="1"/>
  <c r="E22" i="27"/>
  <c r="E24" i="27" s="1"/>
  <c r="G40" i="36" l="1"/>
  <c r="C19" i="2" s="1"/>
  <c r="C18" i="2"/>
  <c r="E35" i="27"/>
  <c r="C9" i="2"/>
  <c r="C14" i="15"/>
  <c r="G44" i="36" l="1"/>
  <c r="G47" i="36" s="1"/>
  <c r="C16" i="2"/>
  <c r="C17" i="2" s="1"/>
  <c r="G54" i="30"/>
  <c r="G52" i="36" l="1"/>
  <c r="G54" i="36" s="1"/>
  <c r="C14" i="22" s="1"/>
  <c r="C20" i="2"/>
  <c r="C35" i="2" s="1"/>
  <c r="C15" i="15"/>
  <c r="G56" i="30"/>
  <c r="C13" i="22" s="1"/>
  <c r="G58" i="36" l="1"/>
  <c r="G60" i="30"/>
  <c r="G62" i="30" s="1"/>
  <c r="C13" i="23" s="1"/>
  <c r="C9" i="15"/>
  <c r="C12" i="15" s="1"/>
  <c r="G60" i="36" l="1"/>
  <c r="C14" i="23" s="1"/>
  <c r="C13" i="15"/>
  <c r="C16" i="15" s="1"/>
  <c r="C29" i="15" s="1"/>
  <c r="C8" i="22" l="1"/>
  <c r="C11" i="22" l="1"/>
  <c r="C12" i="22" s="1"/>
  <c r="C15" i="22" s="1"/>
  <c r="C26" i="22" s="1"/>
  <c r="C8" i="23" l="1"/>
  <c r="C11" i="23" s="1"/>
  <c r="C12" i="23" s="1"/>
  <c r="C15" i="23" l="1"/>
  <c r="C24" i="23" s="1"/>
</calcChain>
</file>

<file path=xl/sharedStrings.xml><?xml version="1.0" encoding="utf-8"?>
<sst xmlns="http://schemas.openxmlformats.org/spreadsheetml/2006/main" count="720" uniqueCount="290">
  <si>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</si>
  <si>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</si>
  <si>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</si>
  <si>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</si>
  <si>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</si>
  <si>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</si>
  <si>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</si>
  <si>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</si>
  <si>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</si>
  <si>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</si>
  <si>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</si>
  <si>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</si>
  <si>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</si>
  <si>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</si>
  <si>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</si>
  <si>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</si>
  <si>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12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</si>
  <si>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</si>
  <si>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</si>
  <si>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</si>
  <si>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</si>
  <si>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</si>
  <si>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</si>
  <si>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</si>
  <si>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</si>
  <si>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</si>
  <si>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</si>
  <si>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</si>
  <si>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</si>
  <si>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</si>
  <si>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</si>
  <si>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</si>
  <si>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</si>
  <si>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</si>
  <si>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</si>
  <si>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</si>
  <si>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</si>
  <si>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</si>
  <si>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Fane 2.4</t>
  </si>
  <si>
    <t>Anlægsprojekter</t>
  </si>
  <si>
    <t>Bortfald</t>
  </si>
  <si>
    <t>Fane 13</t>
  </si>
  <si>
    <t>Fane 14</t>
  </si>
  <si>
    <t>Nye tillæg - Drift</t>
  </si>
  <si>
    <t>Nye tillæg - Anlæg</t>
  </si>
  <si>
    <t>Prisudvikling til brug for nye omkostninger i ØR2020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</si>
  <si>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</si>
  <si>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</si>
  <si>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</si>
  <si>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</si>
  <si>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</si>
  <si>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</si>
  <si>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</si>
  <si>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</si>
  <si>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</si>
  <si>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</si>
  <si>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</si>
  <si>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</si>
  <si>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</si>
  <si>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Generelt effektiviseringskrav til anlægsomkostninger i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</si>
  <si>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</si>
  <si>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</si>
  <si>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</si>
  <si>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</si>
  <si>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</si>
  <si>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</si>
  <si>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</si>
  <si>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</si>
  <si>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</si>
  <si>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</si>
  <si>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</si>
  <si>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Base for anlægsomkostninger til de vejledende økonomiske rammer for 2023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</si>
  <si>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</si>
  <si>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</si>
  <si>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</si>
  <si>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</si>
  <si>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</si>
  <si>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</si>
  <si>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</si>
  <si>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Engangstillæg i alt</t>
  </si>
  <si>
    <t>Fane 5: Individuelt effektiviseringskrav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</si>
  <si>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</si>
  <si>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</si>
  <si>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</si>
  <si>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</si>
  <si>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2023</t>
  </si>
  <si>
    <t>Økonomisk ramme for 2023</t>
  </si>
  <si>
    <t>Periodevise driftsomkostninger til de økonomiske rammer for 2022</t>
  </si>
  <si>
    <t>Periodevise driftsomkostninger til de økonomiske rammer for 2023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</si>
  <si>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</si>
  <si>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</si>
  <si>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</si>
  <si>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2023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</si>
  <si>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</si>
  <si>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</si>
  <si>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</si>
  <si>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Engangstillæg til de økonomiske rammer for 2022</t>
  </si>
  <si>
    <t>Engangstillæg til de økonomiske rammer for 2023</t>
  </si>
  <si>
    <t>Generelt effektiviseringskrav</t>
  </si>
  <si>
    <t>Tillæg til tilbagebetaling af vejbidrag</t>
  </si>
  <si>
    <t>Tillæg til den økonomiske ramme for 2022</t>
  </si>
  <si>
    <t>Tillæg til den økonomiske ramme for 2023</t>
  </si>
  <si>
    <t>Samlede tillæg til periodevise driftsomkostninger jf. indmeldte oprensningsplan</t>
  </si>
  <si>
    <t>Difference (Korrektion)</t>
  </si>
  <si>
    <t>Antal år i næste reguleringsperiode</t>
  </si>
  <si>
    <t>Individuelt effektiviseringskrav til de økonomiske rammer for 2018-2021</t>
  </si>
  <si>
    <t>Generelt effektiviseringskrav til driftsomkostningerne</t>
  </si>
  <si>
    <t>Generelt effektiviseringskrav til anlægsomkostningerne</t>
  </si>
  <si>
    <t>Nøgletal</t>
  </si>
  <si>
    <t>Videreførte omkostninger fra den økonomiske ramme for 2022</t>
  </si>
  <si>
    <t>Fane 4.1</t>
  </si>
  <si>
    <t>Fane 4.2</t>
  </si>
  <si>
    <t>Fane 6</t>
  </si>
  <si>
    <t>Fane 10.1</t>
  </si>
  <si>
    <t>Fane 10.2</t>
  </si>
  <si>
    <t>Fane 11</t>
  </si>
  <si>
    <t>Fane 13: Bortfald eller nedsættelse af omkostninger til mål, medfinansiering eller udvidelse</t>
  </si>
  <si>
    <t>Fane 10.2: Engangstillæg</t>
  </si>
  <si>
    <t>Fane 10.1: Varige tillæg</t>
  </si>
  <si>
    <t>Fane 6: Ikke-påvirkelige omkostninger</t>
  </si>
  <si>
    <t>Fane 4.2: Generelt effektiviseringskrav til anlægsomkostningerne</t>
  </si>
  <si>
    <t>Fane 4.1: Generelt effektiviseringskrav til driftsomkostningerne</t>
  </si>
  <si>
    <t>Prisudvikling til brug for ØR2018-2021</t>
  </si>
  <si>
    <t>Generelt effektiviseringskrav til brug for nye anlægsomkostninger i ØR2019</t>
  </si>
  <si>
    <t>Generelt effektiviseringskrav til brug for anlægsomkostninger i ØR2018-2021</t>
  </si>
  <si>
    <t>Generelt effektiviseringskrav til brug for nye anlægsomkostninger i ØR2020</t>
  </si>
  <si>
    <t>Generelt effektiviseringskrav til brug for driftsomkostninger</t>
  </si>
  <si>
    <t>Fane 11: Periodevise driftsomkostninger givet under prisloftsbekendtgørelsen</t>
  </si>
  <si>
    <t>Tillæg til medfinansieringsprojekter godkendt under prisloftsbekendtgørelsen</t>
  </si>
  <si>
    <t>- Heraf nye anlægsomkostninger til de økonomiske rammer for 2020</t>
  </si>
  <si>
    <t>- Heraf nye driftsomkostninger til de økonomiske rammer for 2020</t>
  </si>
  <si>
    <t>Periodevise driftsomkostninger i den økonomiske ramme for 2018</t>
  </si>
  <si>
    <t>Fane 3</t>
  </si>
  <si>
    <t>Korrektion af driftsomkostninger i grundlaget</t>
  </si>
  <si>
    <t>Korrektion af anlægsomkostninger i grundlaget</t>
  </si>
  <si>
    <t>Tilknyttet virksomhed</t>
  </si>
  <si>
    <t>Vejledende økonomisk ramme for 2024</t>
  </si>
  <si>
    <t>Tidligere tilknyttet virksomhed - Drift</t>
  </si>
  <si>
    <t>Tidligere tilknyttet virksomhed - Anlæg</t>
  </si>
  <si>
    <t>Videreførte omkostninger fra den økonomiske ramme for 2023</t>
  </si>
  <si>
    <t>Økonomisk ramme for 2024</t>
  </si>
  <si>
    <t>Tillæg til den økonomiske ramme for 2024</t>
  </si>
  <si>
    <t>Nye tillæg i alt i 2020-prisniveau</t>
  </si>
  <si>
    <t>Engangstillæg i alt i 2022-prisniveau</t>
  </si>
  <si>
    <t>Engangstillæg til de økonomiske rammer for 2024</t>
  </si>
  <si>
    <t>Periodevise driftsomkostninger til de økonomiske rammer for 2024</t>
  </si>
  <si>
    <t>Periodevise driftsomkostninger i alt i 2024-prisniveau</t>
  </si>
  <si>
    <t>Fane 12: Tilknyttet virksomhed under hovedvirksomheden</t>
  </si>
  <si>
    <t>Tilknyttet virksomhed under hovedvirksomheden</t>
  </si>
  <si>
    <t>Beskrivelse af tilknyttet virksomhed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</si>
  <si>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</si>
  <si>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</si>
  <si>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</si>
  <si>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Prisudvikling til brug for nye omkostninger i ØR2021</t>
  </si>
  <si>
    <t>Generelt effektiviseringskrav til brug for nye anlægsomkostninger i ØR2021</t>
  </si>
  <si>
    <t>Fane 9: Anlægsprojekter igangsat senest den 1. marts 2016</t>
  </si>
  <si>
    <t>Anlægsprojekter igangsat senest den 1. marts 2016</t>
  </si>
  <si>
    <t>Anlægsprojekter igangsat senest den 1. marts 2016 i alt</t>
  </si>
  <si>
    <t>Anlægsprojekter igangsat senest 1. marts 2016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</si>
  <si>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</si>
  <si>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</si>
  <si>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</si>
  <si>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</si>
  <si>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</si>
  <si>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</si>
  <si>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</si>
  <si>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</si>
  <si>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</si>
  <si>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</si>
  <si>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Til indregning i de økonomiske rammer for 2022-2023</t>
  </si>
  <si>
    <t>Kontrol med overholdelse af økonomiske rammer</t>
  </si>
  <si>
    <t>Kontrol med overholdelse af økonomiske ramme</t>
  </si>
  <si>
    <t>Kontrol med de økonomiske rammer til indregning</t>
  </si>
  <si>
    <t>Fane 14: Nøgletal</t>
  </si>
  <si>
    <t>Til økonomiske rammer for 2022 og 2023</t>
  </si>
  <si>
    <t>Samlet økonomisk ramme for 2022</t>
  </si>
  <si>
    <t>Samlet økonomisk ramme for 2023</t>
  </si>
  <si>
    <t>Vejledende økonomisk ramme for 2025</t>
  </si>
  <si>
    <t>Omkostninger i ØR2021</t>
  </si>
  <si>
    <t>Kontrol af den økonomiske ramme for 2020</t>
  </si>
  <si>
    <t>Korrektion af den økonomiske ramme for 2020</t>
  </si>
  <si>
    <t>Fane 2.1: Samlet økonomisk ramme for 2022</t>
  </si>
  <si>
    <t>Fane 2.2: Samlet økonomisk ramme for 2023</t>
  </si>
  <si>
    <t>Fane 2.3: Samlet økonomisk ramme for 2024</t>
  </si>
  <si>
    <t>Fane 2.4: Samlet økonomisk ramme for 2025</t>
  </si>
  <si>
    <t>Videreførte omkostninger fra den økonomiske ramme for 2024</t>
  </si>
  <si>
    <t>Økonomisk ramme for 2025</t>
  </si>
  <si>
    <t>Fane 3: Videreførte omkostninger fra den økonomiske ramme for 2021</t>
  </si>
  <si>
    <t>Oversigt over den økonomiske ramme for 2021</t>
  </si>
  <si>
    <t>- Heraf nye omkostninger i ØR20 - Drift</t>
  </si>
  <si>
    <t>- Heraf nye omkostninger i ØR20 - Anlæg</t>
  </si>
  <si>
    <t>Generelt effektiviseringskrav til driftsomkostninger i de økonomiske rammer for 2022</t>
  </si>
  <si>
    <t>Generelt effektiviseringskrav til anlægsomkostninger i de økonomiske rammer for 2022</t>
  </si>
  <si>
    <t>Nye anlægsomkostninger til de økonomiske rammer for 2022</t>
  </si>
  <si>
    <t>Generelt effektiviseringskrav til anlægsomkostningerne i ØR22</t>
  </si>
  <si>
    <t>Individuelt effektiviseringskrav til de økonomiske rammer for 2022-2023</t>
  </si>
  <si>
    <t>Beregningen af jeres individuelle effektiviseringskrav fremgår af metodepapir samt bilag til benchmarkingmodellen 2022</t>
  </si>
  <si>
    <t>Faktiske ikke-påvirkelige omkostninger i 2020</t>
  </si>
  <si>
    <t>Faktiske omkostninger i 2020</t>
  </si>
  <si>
    <t>Ikke-påvirkelige omkostninger i 2020-prisniveau</t>
  </si>
  <si>
    <t>Ikke-påvirkelige omkostninger i 2022-prisniveau</t>
  </si>
  <si>
    <t>Tillæg til den økonomiske ramme for 2025</t>
  </si>
  <si>
    <t>Fane 7: Kontrol med overholdelse af den økonomiske ramme for 2020</t>
  </si>
  <si>
    <t>Fane 8: Korrektioner af den økonomiske ramme for 2020</t>
  </si>
  <si>
    <t>Korrektion af periodevise driftsomkostninger i de økonomiske rammer for 2020</t>
  </si>
  <si>
    <t>Faktisk periodevis driftsomkostning i 2020</t>
  </si>
  <si>
    <t>Tidligere godkendt tillæg indregnet i den økonomiske ramme for 2020</t>
  </si>
  <si>
    <t>Faktisk omkostning til medfinansiering af klimatilpasningsprojekter i 2020</t>
  </si>
  <si>
    <t>Korrektioner af den økonomiske ramme for 2020 i alt</t>
  </si>
  <si>
    <t>Nye tillæg i alt i 2021-prisniveau</t>
  </si>
  <si>
    <t>Engangstillæg i alt i 2020-prisniveau</t>
  </si>
  <si>
    <t>Engangstillæg i alt i 2023-prisniveau</t>
  </si>
  <si>
    <t>Engangstillæg til de økonomiske rammer for 2025</t>
  </si>
  <si>
    <t>Engangstillæg i alt i 2024-prisniveau</t>
  </si>
  <si>
    <t>Engangstillæg i alt i 2025-prisniveau</t>
  </si>
  <si>
    <t>Periodevise driftsomkostninger i alt i 2020-prisniveau</t>
  </si>
  <si>
    <t>Periodevise driftsomkostninger til de økonomiske rammer for 2025</t>
  </si>
  <si>
    <t>Periodevise driftsomkostninger i alt i 2025-prisniveau</t>
  </si>
  <si>
    <t>Tilknyttet virksomhed under hovedvirksomheden i alt (2021-prisniveau)</t>
  </si>
  <si>
    <t>Bortfald eller nedsættelse fra og med de økonomiske rammer for 2025</t>
  </si>
  <si>
    <t>Bortfald eller nedsættelse i alt i 2024-prisniveau</t>
  </si>
  <si>
    <t>Generelt effektiviseringskrav til brug for nye anlægsomkostninger i ØR2022</t>
  </si>
  <si>
    <t>Generelt effektiviseringskrav til anlægsomkostninger i de økonomiske rammer for 2020</t>
  </si>
  <si>
    <t>Generelt effektiviseringskrav til driftsomkostninger i de økonomiske rammer for 2023</t>
  </si>
  <si>
    <t>Generelt effektiviseringskrav til driftsomkostninger i de vejledende økonomiske rammer for 2025</t>
  </si>
  <si>
    <t>Generelt effektiviseringskrav til anlægsomkostninger i de vejledende økonomiske rammer for 2025</t>
  </si>
  <si>
    <t xml:space="preserve">Note: Denne opgørelse er taget fra jeres statusmeddelelse for den økonomiske ramme for 2021. I kan derfor ikke komme med høringssvar til denne opgørelse. </t>
  </si>
  <si>
    <t>- Heraf nye omkostninger i ØR19 - Drift</t>
  </si>
  <si>
    <t>- Heraf nye omkostninger i ØR19 - Anlæg</t>
  </si>
  <si>
    <t>Generelt effektiviseringskrav til driftsomkostninger i de økonomiske rammer for 2017</t>
  </si>
  <si>
    <t>Driftsomkostninger i grundlaget til de økonomiske rammer for 2017</t>
  </si>
  <si>
    <t>Periodevise driftsomkostninger i den økonomiske ramme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</si>
  <si>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</si>
  <si>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</si>
  <si>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</si>
  <si>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- Heraf nye driftsomkostninger til de økonomiske rammer for 2019</t>
  </si>
  <si>
    <t>Base for driftsomkostninger til de vejledende økonomiske rammer for 2025</t>
  </si>
  <si>
    <t>Bortfald af driftsomkostninger i de økonomiske rammer for 2025</t>
  </si>
  <si>
    <t>Vejledende generelt effektiviseringskrav til driftsomkostningerne i ØR25</t>
  </si>
  <si>
    <t>Generelt effektiviseringskrav til anlægsomkostningerne i ØR17</t>
  </si>
  <si>
    <t>Kontrol med overholdelse af den økonomiske ramme for 2020</t>
  </si>
  <si>
    <t>Indtægtsramme i den økonomiske ramme for 2020</t>
  </si>
  <si>
    <t>Faktiske indtægter i 2020</t>
  </si>
  <si>
    <t>Generelt effektiviseringskrav til driftsomkostningerne i ØR22</t>
  </si>
  <si>
    <t>Nye driftsomkostninger til de økonomiske rammer for 2022</t>
  </si>
  <si>
    <t>Base for driftsomkostninger til de økonomiske rammer for 2022</t>
  </si>
  <si>
    <t>Generelt effektiviseringskrav til anlægsomkostninger i de økonomiske rammer for 2017</t>
  </si>
  <si>
    <t>Anlægssomkostninger i grundlaget til de økonomiske rammer for 2017</t>
  </si>
  <si>
    <t>Base for anlægsomkostninger til de økonomiske rammer for 2018</t>
  </si>
  <si>
    <t>Nye anlægsomkostninger til de økonomiske rammer for 2018</t>
  </si>
  <si>
    <t>-Heraf nye anlægsomkostninger til de økonomiske rammer for 2019</t>
  </si>
  <si>
    <t>- Heraf nye anlægsomkostninger til de økonomiske rammer for 2019</t>
  </si>
  <si>
    <t>Base for anlægsomkostninger til de vejledende økonomiske rammer for 2022</t>
  </si>
  <si>
    <t>Generelt effektiviseringskrav til anlægsomkostninger i de vejledende økonomiske rammer for 2023</t>
  </si>
  <si>
    <t>Bortfald af anlægsomkostninger i de økonomiske rammer for 2025</t>
  </si>
  <si>
    <t>Vejledende generelt effektiviseringskrav til anlægsomkostningerne i ØR25</t>
  </si>
  <si>
    <t>Base for driftsomkostninger til de økonomiske rammer for 2023</t>
  </si>
  <si>
    <t>Generelt effektiviseringskrav til driftsomkostningerne i ØR23</t>
  </si>
  <si>
    <t>- Heraf nye driftsomkostninger til de økonomiske rammer for 2022</t>
  </si>
  <si>
    <t>Generelt effektiviseringskrav til anlægsomkostningerne i ØR23</t>
  </si>
  <si>
    <t>- Heraf nye anlægsomkostninger til de økonomiske rammer for 2022</t>
  </si>
  <si>
    <t>Individuelt effektiviseringskrav til de økonomiske rammer for 2017</t>
  </si>
  <si>
    <t xml:space="preserve">Indtægter fra tilbagebetalt skat eller sambeskatningsbidrag som følge af skattesagen </t>
  </si>
  <si>
    <t xml:space="preserve">Nedsættelse af økonomisk ramme som følge af skattesagen </t>
  </si>
  <si>
    <t>Prisudvikling til brug for ØR2017</t>
  </si>
  <si>
    <t>Generelt effektiviseringskrav til brug for anlægsomkostninger i ØR2017</t>
  </si>
  <si>
    <t>Ingen tilknyttet virksomhed</t>
  </si>
  <si>
    <t>Spildevandsafgift</t>
  </si>
  <si>
    <t>Afgift til Forsyningssekretariatet</t>
  </si>
  <si>
    <t>Køb af produkter og ydelser fra andre vandselskaber reguleret af vandsektorloven</t>
  </si>
  <si>
    <t>Ejendomsskat</t>
  </si>
  <si>
    <t>Tjenestemandspensioner</t>
  </si>
  <si>
    <t>Ingen bortfald eller nedsættelse</t>
  </si>
  <si>
    <t>Tidligere opgjorte over/underdækninger</t>
  </si>
  <si>
    <t>Over/underdækning i 2017</t>
  </si>
  <si>
    <t>Over/underdækning i 2018</t>
  </si>
  <si>
    <t>Over/underdækning i 2019</t>
  </si>
  <si>
    <t>Note: Opgørelsen af overholdelse af de økonomiske rammer er taget fra jeres tidligere fremsendte økonomiske rammer og statusmeddelelser. I kan derfor ikke komme med høringssvar til denne opgørelse. Positive værdier er udtryk for at rammerne er overholdt(underdækning) og negative værdier er udtryk for at rammerne ikke er overholdt(overdækning).</t>
  </si>
  <si>
    <t>Allerede indregnet fradrag i jeres økonomiske rammer</t>
  </si>
  <si>
    <t>Indregnet fradrag i økonomisk ramme for 2022</t>
  </si>
  <si>
    <t>Indregnet fradrag i økonomisk ramme for 2023</t>
  </si>
  <si>
    <t xml:space="preserve">Note: Opgørelsen af over/underækningen er taget fra jeres tidligere fremsendte økonomiske rammer og statusmeddelelser. I kan derfor ikke komme med høringssvar til denne opgørelse. </t>
  </si>
  <si>
    <t>Resultat af kontrol med overholdelse af den økonomiske ramme for 2020</t>
  </si>
  <si>
    <t>Korrektion af den økonomiske ramme for 2019</t>
  </si>
  <si>
    <t>Prisudvikling til brug for ØR2022-2023</t>
  </si>
  <si>
    <t>Ingen anlægsprojekter</t>
  </si>
  <si>
    <t>Udvidelse</t>
  </si>
  <si>
    <t>Ingen engangstillæg</t>
  </si>
  <si>
    <t>Kontrol med overholdelse af den økonomiske ramme</t>
  </si>
  <si>
    <t>Separatkloakering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</si>
</sst>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32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3" fontId="8" fillId="0" borderId="1" xfId="0" applyNumberFormat="1" applyFont="1" applyFill="1" applyBorder="1" applyAlignment="1" applyProtection="1">
      <alignment wrapText="1"/>
    </xf>
    <xf numFmtId="0" fontId="7" fillId="2" borderId="0" xfId="0" applyFont="1" applyFill="1" applyBorder="1" applyAlignment="1" applyProtection="1"/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7" fillId="3" borderId="1" xfId="0" applyFont="1" applyFill="1" applyBorder="1" applyAlignment="1" applyProtection="1"/>
    <xf numFmtId="3" fontId="8" fillId="4" borderId="2" xfId="0" applyNumberFormat="1" applyFont="1" applyFill="1" applyBorder="1" applyAlignment="1" applyProtection="1">
      <alignment horizontal="right"/>
    </xf>
    <xf numFmtId="1" fontId="8" fillId="0" borderId="1" xfId="0" applyNumberFormat="1" applyFont="1" applyFill="1" applyBorder="1" applyProtection="1"/>
    <xf numFmtId="49" fontId="8" fillId="8" borderId="2" xfId="0" applyNumberFormat="1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8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3" fontId="8" fillId="8" borderId="1" xfId="1" applyNumberFormat="1" applyFont="1" applyFill="1" applyBorder="1" applyProtection="1"/>
    <xf numFmtId="0" fontId="4" fillId="2" borderId="0" xfId="0" applyFont="1" applyFill="1" applyAlignment="1" applyProtection="1">
      <alignment horizontal="center" vertical="center"/>
    </xf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wrapText="1"/>
    </xf>
    <xf numFmtId="0" fontId="8" fillId="8" borderId="6" xfId="0" applyFont="1" applyFill="1" applyBorder="1" applyAlignment="1" applyProtection="1">
      <alignment wrapText="1"/>
    </xf>
    <xf numFmtId="0" fontId="8" fillId="8" borderId="3" xfId="0" applyFont="1" applyFill="1" applyBorder="1" applyAlignment="1" applyProtection="1">
      <alignment wrapText="1"/>
    </xf>
    <xf numFmtId="0" fontId="8" fillId="8" borderId="2" xfId="0" quotePrefix="1" applyFont="1" applyFill="1" applyBorder="1" applyAlignment="1" applyProtection="1">
      <alignment wrapText="1"/>
    </xf>
    <xf numFmtId="0" fontId="8" fillId="8" borderId="6" xfId="0" quotePrefix="1" applyFont="1" applyFill="1" applyBorder="1" applyAlignment="1" applyProtection="1">
      <alignment wrapText="1"/>
    </xf>
    <xf numFmtId="0" fontId="8" fillId="8" borderId="3" xfId="0" quotePrefix="1" applyFont="1" applyFill="1" applyBorder="1" applyAlignment="1" applyProtection="1">
      <alignment wrapText="1"/>
    </xf>
    <xf numFmtId="0" fontId="8" fillId="8" borderId="2" xfId="0" quotePrefix="1" applyFont="1" applyFill="1" applyBorder="1" applyAlignment="1" applyProtection="1">
      <alignment horizontal="left" wrapText="1"/>
    </xf>
    <xf numFmtId="0" fontId="8" fillId="8" borderId="6" xfId="0" quotePrefix="1" applyFont="1" applyFill="1" applyBorder="1" applyAlignment="1" applyProtection="1">
      <alignment horizontal="left" wrapText="1"/>
    </xf>
    <xf numFmtId="0" fontId="8" fillId="8" borderId="3" xfId="0" quotePrefix="1" applyFont="1" applyFill="1" applyBorder="1" applyAlignment="1" applyProtection="1">
      <alignment horizontal="left" wrapText="1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/>
    <xf numFmtId="0" fontId="8" fillId="8" borderId="3" xfId="0" quotePrefix="1" applyFont="1" applyFill="1" applyBorder="1" applyAlignment="1" applyProtection="1"/>
    <xf numFmtId="0" fontId="8" fillId="8" borderId="2" xfId="0" applyFont="1" applyFill="1" applyBorder="1" applyAlignment="1" applyProtection="1"/>
    <xf numFmtId="0" fontId="2" fillId="2" borderId="0" xfId="0" applyFont="1" applyFill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49" fontId="8" fillId="8" borderId="6" xfId="0" applyNumberFormat="1" applyFont="1" applyFill="1" applyBorder="1" applyAlignment="1" applyProtection="1">
      <alignment horizontal="left" wrapText="1"/>
    </xf>
    <xf numFmtId="49" fontId="8" fillId="8" borderId="3" xfId="0" applyNumberFormat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B6DDF3"/>
      <color rgb="FF212121"/>
      <color rgb="FFF2DCDB"/>
      <color rgb="FF650816"/>
      <color rgb="FF4C4C4C"/>
      <color rgb="FFBFBFBF"/>
      <color rgb="FFD9D9D9"/>
      <color rgb="FF35B099"/>
      <color rgb="FF9E0B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kabeloner/&#216;konomiske%20rammer/2020/&#216;R-statusark/&#216;R-statusark-udkast_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1"/>
      <sheetName val="ØR21-24"/>
      <sheetName val="ØR20-23"/>
      <sheetName val="ØR19-22"/>
      <sheetName val="ØR18"/>
      <sheetName val="ØR17-20"/>
      <sheetName val="Nøgletal"/>
      <sheetName val="Ark2"/>
      <sheetName val="Ark3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1.0168999999999999</v>
          </cell>
        </row>
        <row r="13">
          <cell r="B13">
            <v>0.02</v>
          </cell>
          <cell r="C13">
            <v>8.6999999999999994E-3</v>
          </cell>
          <cell r="D13">
            <v>1.7000000000000001E-2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4" t="s">
        <v>4</v>
      </c>
      <c r="E6" s="64"/>
      <c r="F6" s="64"/>
      <c r="G6" s="64"/>
      <c r="H6" s="3"/>
      <c r="I6" s="1"/>
    </row>
    <row r="7" spans="1:9" ht="15" customHeight="1" x14ac:dyDescent="0.25">
      <c r="A7" s="1"/>
      <c r="B7" s="1"/>
      <c r="C7" s="3"/>
      <c r="D7" s="64"/>
      <c r="E7" s="64"/>
      <c r="F7" s="64"/>
      <c r="G7" s="64"/>
      <c r="H7" s="3"/>
      <c r="I7" s="1"/>
    </row>
    <row r="8" spans="1:9" ht="15.75" x14ac:dyDescent="0.25">
      <c r="A8" s="1"/>
      <c r="B8" s="1"/>
      <c r="C8" s="4"/>
      <c r="D8" s="69" t="s">
        <v>174</v>
      </c>
      <c r="E8" s="69"/>
      <c r="F8" s="69"/>
      <c r="G8" s="69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68" t="s">
        <v>5</v>
      </c>
      <c r="E11" s="68"/>
      <c r="F11" s="68"/>
      <c r="G11" s="68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70" t="s">
        <v>175</v>
      </c>
      <c r="E13" s="71"/>
      <c r="F13" s="71"/>
      <c r="G13" s="72"/>
      <c r="H13" s="1"/>
      <c r="I13" s="1"/>
    </row>
    <row r="14" spans="1:9" x14ac:dyDescent="0.25">
      <c r="A14" s="1"/>
      <c r="B14" s="1"/>
      <c r="C14" s="6" t="s">
        <v>17</v>
      </c>
      <c r="D14" s="70" t="s">
        <v>176</v>
      </c>
      <c r="E14" s="71"/>
      <c r="F14" s="71"/>
      <c r="G14" s="72"/>
      <c r="H14" s="1"/>
      <c r="I14" s="1"/>
    </row>
    <row r="15" spans="1:9" x14ac:dyDescent="0.25">
      <c r="A15" s="1"/>
      <c r="B15" s="1"/>
      <c r="C15" s="6" t="s">
        <v>37</v>
      </c>
      <c r="D15" s="70" t="s">
        <v>136</v>
      </c>
      <c r="E15" s="71"/>
      <c r="F15" s="71"/>
      <c r="G15" s="72"/>
      <c r="H15" s="1"/>
      <c r="I15" s="1"/>
    </row>
    <row r="16" spans="1:9" x14ac:dyDescent="0.25">
      <c r="A16" s="1"/>
      <c r="B16" s="1"/>
      <c r="C16" s="6" t="s">
        <v>38</v>
      </c>
      <c r="D16" s="70" t="s">
        <v>177</v>
      </c>
      <c r="E16" s="71"/>
      <c r="F16" s="71"/>
      <c r="G16" s="72"/>
      <c r="H16" s="1"/>
      <c r="I16" s="1"/>
    </row>
    <row r="17" spans="1:9" x14ac:dyDescent="0.25">
      <c r="A17" s="1"/>
      <c r="B17" s="1"/>
      <c r="C17" s="6" t="s">
        <v>132</v>
      </c>
      <c r="D17" s="70" t="s">
        <v>178</v>
      </c>
      <c r="E17" s="71"/>
      <c r="F17" s="71"/>
      <c r="G17" s="72"/>
      <c r="H17" s="1"/>
      <c r="I17" s="1"/>
    </row>
    <row r="18" spans="1:9" x14ac:dyDescent="0.25">
      <c r="A18" s="1"/>
      <c r="B18" s="1"/>
      <c r="C18" s="6" t="s">
        <v>110</v>
      </c>
      <c r="D18" s="73" t="s">
        <v>94</v>
      </c>
      <c r="E18" s="74"/>
      <c r="F18" s="74"/>
      <c r="G18" s="75"/>
      <c r="H18" s="1"/>
      <c r="I18" s="1"/>
    </row>
    <row r="19" spans="1:9" x14ac:dyDescent="0.25">
      <c r="A19" s="1"/>
      <c r="B19" s="1"/>
      <c r="C19" s="6" t="s">
        <v>111</v>
      </c>
      <c r="D19" s="73" t="s">
        <v>95</v>
      </c>
      <c r="E19" s="74"/>
      <c r="F19" s="74"/>
      <c r="G19" s="75"/>
      <c r="H19" s="1"/>
      <c r="I19" s="1"/>
    </row>
    <row r="20" spans="1:9" x14ac:dyDescent="0.25">
      <c r="A20" s="1"/>
      <c r="B20" s="1"/>
      <c r="C20" s="6" t="s">
        <v>7</v>
      </c>
      <c r="D20" s="73" t="s">
        <v>10</v>
      </c>
      <c r="E20" s="74"/>
      <c r="F20" s="74"/>
      <c r="G20" s="75"/>
      <c r="H20" s="1"/>
      <c r="I20" s="1"/>
    </row>
    <row r="21" spans="1:9" x14ac:dyDescent="0.25">
      <c r="A21" s="1"/>
      <c r="B21" s="1"/>
      <c r="C21" s="6" t="s">
        <v>112</v>
      </c>
      <c r="D21" s="79" t="s">
        <v>13</v>
      </c>
      <c r="E21" s="80"/>
      <c r="F21" s="80"/>
      <c r="G21" s="81"/>
      <c r="H21" s="1"/>
      <c r="I21" s="1"/>
    </row>
    <row r="22" spans="1:9" x14ac:dyDescent="0.25">
      <c r="A22" s="1"/>
      <c r="B22" s="1"/>
      <c r="C22" s="6" t="s">
        <v>75</v>
      </c>
      <c r="D22" s="65" t="s">
        <v>179</v>
      </c>
      <c r="E22" s="66"/>
      <c r="F22" s="66"/>
      <c r="G22" s="67"/>
      <c r="H22" s="1"/>
      <c r="I22" s="1"/>
    </row>
    <row r="23" spans="1:9" x14ac:dyDescent="0.25">
      <c r="A23" s="1"/>
      <c r="B23" s="1"/>
      <c r="C23" s="6" t="s">
        <v>8</v>
      </c>
      <c r="D23" s="65" t="s">
        <v>180</v>
      </c>
      <c r="E23" s="66"/>
      <c r="F23" s="66"/>
      <c r="G23" s="67"/>
      <c r="H23" s="1"/>
      <c r="I23" s="1"/>
    </row>
    <row r="24" spans="1:9" x14ac:dyDescent="0.25">
      <c r="A24" s="1"/>
      <c r="B24" s="1"/>
      <c r="C24" s="6" t="s">
        <v>9</v>
      </c>
      <c r="D24" s="65" t="s">
        <v>39</v>
      </c>
      <c r="E24" s="66"/>
      <c r="F24" s="66"/>
      <c r="G24" s="67"/>
      <c r="H24" s="1"/>
      <c r="I24" s="1"/>
    </row>
    <row r="25" spans="1:9" x14ac:dyDescent="0.25">
      <c r="A25" s="1"/>
      <c r="B25" s="1"/>
      <c r="C25" s="6" t="s">
        <v>113</v>
      </c>
      <c r="D25" s="65" t="s">
        <v>76</v>
      </c>
      <c r="E25" s="66"/>
      <c r="F25" s="66"/>
      <c r="G25" s="67"/>
      <c r="H25" s="1"/>
      <c r="I25" s="1"/>
    </row>
    <row r="26" spans="1:9" x14ac:dyDescent="0.25">
      <c r="A26" s="1"/>
      <c r="B26" s="1"/>
      <c r="C26" s="6" t="s">
        <v>114</v>
      </c>
      <c r="D26" s="65" t="s">
        <v>77</v>
      </c>
      <c r="E26" s="66"/>
      <c r="F26" s="66"/>
      <c r="G26" s="67"/>
      <c r="H26" s="1"/>
      <c r="I26" s="1"/>
    </row>
    <row r="27" spans="1:9" x14ac:dyDescent="0.25">
      <c r="A27" s="1"/>
      <c r="B27" s="1"/>
      <c r="C27" s="6" t="s">
        <v>115</v>
      </c>
      <c r="D27" s="65" t="s">
        <v>78</v>
      </c>
      <c r="E27" s="66"/>
      <c r="F27" s="66"/>
      <c r="G27" s="67"/>
      <c r="H27" s="1"/>
      <c r="I27" s="1"/>
    </row>
    <row r="28" spans="1:9" x14ac:dyDescent="0.25">
      <c r="A28" s="1"/>
      <c r="B28" s="1"/>
      <c r="C28" s="6" t="s">
        <v>16</v>
      </c>
      <c r="D28" s="65" t="s">
        <v>135</v>
      </c>
      <c r="E28" s="66"/>
      <c r="F28" s="66"/>
      <c r="G28" s="67"/>
      <c r="H28" s="1"/>
      <c r="I28" s="1"/>
    </row>
    <row r="29" spans="1:9" x14ac:dyDescent="0.25">
      <c r="A29" s="1"/>
      <c r="B29" s="1"/>
      <c r="C29" s="6" t="s">
        <v>41</v>
      </c>
      <c r="D29" s="65" t="s">
        <v>40</v>
      </c>
      <c r="E29" s="66"/>
      <c r="F29" s="66"/>
      <c r="G29" s="67"/>
      <c r="H29" s="1"/>
      <c r="I29" s="1"/>
    </row>
    <row r="30" spans="1:9" x14ac:dyDescent="0.25">
      <c r="A30" s="1"/>
      <c r="B30" s="1"/>
      <c r="C30" s="6" t="s">
        <v>42</v>
      </c>
      <c r="D30" s="76" t="s">
        <v>108</v>
      </c>
      <c r="E30" s="77"/>
      <c r="F30" s="77"/>
      <c r="G30" s="78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DbRG0cOzf7zxgzNym1+NmygE51aDtvAYuQUVuDvHlMT/l4Fqi5XNiRT9VNdHBzO3ctfMh7V9uycUtyoEXK8ELw==" saltValue="exYW9IELkp5eZDWFrtCfTA==" spinCount="100000" sheet="1" objects="1" scenarios="1"/>
  <mergeCells count="21">
    <mergeCell ref="D30:G30"/>
    <mergeCell ref="D21:G21"/>
    <mergeCell ref="D24:G24"/>
    <mergeCell ref="D25:G25"/>
    <mergeCell ref="D28:G28"/>
    <mergeCell ref="D26:G26"/>
    <mergeCell ref="D27:G27"/>
    <mergeCell ref="D23:G23"/>
    <mergeCell ref="D29:G29"/>
    <mergeCell ref="D6:G7"/>
    <mergeCell ref="D22:G22"/>
    <mergeCell ref="D11:G11"/>
    <mergeCell ref="D8:G8"/>
    <mergeCell ref="D15:G15"/>
    <mergeCell ref="D16:G16"/>
    <mergeCell ref="D13:G13"/>
    <mergeCell ref="D17:G17"/>
    <mergeCell ref="D18:G18"/>
    <mergeCell ref="D19:G19"/>
    <mergeCell ref="D20:G20"/>
    <mergeCell ref="D14:G14"/>
  </mergeCells>
  <hyperlinks>
    <hyperlink ref="D14:G14" location="'Fane 2.2. Økonomisk ramme 2023'!A1" display="Samlet økonomisk ramme for 2022"/>
    <hyperlink ref="D25:G25" location="'Fane 10.1. Varige tillæg'!A1" display="Varige tillæg"/>
    <hyperlink ref="D28:G28" location="'Fane 12. Tilknyttet virksomhed'!A1" display="Tilknyttet virksomhed"/>
    <hyperlink ref="D29:G29" location="'Fane 13. Bortfald'!A1" display="Bortfald"/>
    <hyperlink ref="D13:G13" location="'Fane 2.1. Økonomisk ramme 2022'!A1" display="Samlet økonomisk ramme for 2021"/>
    <hyperlink ref="D16:G16" location="'Fane 2.4. Økonomisk ramme 2025'!A1" display="Vejledende økonomisk ramme for 2024"/>
    <hyperlink ref="D15:G15" location="'Fane 2.3. Økonomisk ramme 2024'!A1" display="Vejledende økonomisk ramme for 2023"/>
    <hyperlink ref="D21:G21" location="'Fane 6. Ikke-påvirkelige omk.'!A1" display="Ikke-påvirkelige omkostninger"/>
    <hyperlink ref="D22:G22" location="'Fane 7. Kontrol af ØR2020'!A1" display="Kontrol af den økonomiske ramme for 2019"/>
    <hyperlink ref="D24:G24" location="'Fane 9. Anlægsprojekter'!A1" display="Anlægsprojekter"/>
    <hyperlink ref="D30:G30" location="'Fane 14. Nøgletal'!A1" display="Nøgletal"/>
    <hyperlink ref="D17:G17" location="'Fane 3. Omkostninger i ØR2021'!A1" display="Omkostninger i ØR2020"/>
    <hyperlink ref="D26:G26" location="'Fane 10.2. Engangstillæg'!A1" display="Engangstillæg"/>
    <hyperlink ref="D27:G27" location="'Fane 11. Periodevise driftsomk.'!A1" display="Periodevise driftsomkostninger"/>
    <hyperlink ref="D23:G23" location="'Fane 8. Korrektion af ØR2020'!A1" display="Korrektion af den økonomiske ramme for 2020"/>
    <hyperlink ref="D19:G19" location="'Fane 4.2. Gen. krav - anlæg'!A1" display="Generelt effektiviseringskrav på anlæg"/>
    <hyperlink ref="D20:G20" location="'Fane 5. Individuelt eff. krav'!A1" display="Individuelt effektiviseringskrav"/>
    <hyperlink ref="D18:G18" location="'Fane 4.1. Gen. krav - drift'!A1" display="Generelt effektiviseringskrav på drift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1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82" t="s">
        <v>119</v>
      </c>
      <c r="C3" s="82"/>
      <c r="D3" s="82"/>
      <c r="E3" s="1"/>
      <c r="F3" s="1"/>
    </row>
    <row r="4" spans="1:6" ht="15" customHeight="1" x14ac:dyDescent="0.25">
      <c r="A4" s="1"/>
      <c r="B4" s="82"/>
      <c r="C4" s="82"/>
      <c r="D4" s="82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12" t="s">
        <v>197</v>
      </c>
      <c r="C8" s="113"/>
      <c r="D8" s="114"/>
      <c r="E8" s="1"/>
      <c r="F8" s="1"/>
    </row>
    <row r="9" spans="1:6" ht="15" customHeight="1" x14ac:dyDescent="0.25">
      <c r="A9" s="1"/>
      <c r="B9" s="43" t="s">
        <v>35</v>
      </c>
      <c r="C9" s="11" t="s">
        <v>198</v>
      </c>
      <c r="D9" s="11"/>
      <c r="E9" s="1"/>
      <c r="F9" s="1"/>
    </row>
    <row r="10" spans="1:6" ht="15" customHeight="1" x14ac:dyDescent="0.25">
      <c r="A10" s="1"/>
      <c r="B10" s="58" t="s">
        <v>267</v>
      </c>
      <c r="C10" s="9">
        <v>1958161</v>
      </c>
      <c r="D10" s="14" t="s">
        <v>3</v>
      </c>
      <c r="E10" s="1"/>
      <c r="F10" s="1"/>
    </row>
    <row r="11" spans="1:6" ht="15" customHeight="1" x14ac:dyDescent="0.25">
      <c r="A11" s="1"/>
      <c r="B11" s="58" t="s">
        <v>268</v>
      </c>
      <c r="C11" s="9">
        <v>125609</v>
      </c>
      <c r="D11" s="14" t="s">
        <v>3</v>
      </c>
      <c r="E11" s="1"/>
      <c r="F11" s="1"/>
    </row>
    <row r="12" spans="1:6" x14ac:dyDescent="0.25">
      <c r="A12" s="1"/>
      <c r="B12" s="58" t="s">
        <v>269</v>
      </c>
      <c r="C12" s="9">
        <v>114031</v>
      </c>
      <c r="D12" s="14" t="s">
        <v>3</v>
      </c>
      <c r="E12" s="1"/>
      <c r="F12" s="1"/>
    </row>
    <row r="13" spans="1:6" x14ac:dyDescent="0.25">
      <c r="A13" s="1"/>
      <c r="B13" s="58" t="s">
        <v>270</v>
      </c>
      <c r="C13" s="9">
        <v>370944</v>
      </c>
      <c r="D13" s="14" t="s">
        <v>3</v>
      </c>
      <c r="E13" s="1"/>
      <c r="F13" s="1"/>
    </row>
    <row r="14" spans="1:6" x14ac:dyDescent="0.25">
      <c r="A14" s="1"/>
      <c r="B14" s="58" t="s">
        <v>271</v>
      </c>
      <c r="C14" s="9">
        <v>519758</v>
      </c>
      <c r="D14" s="14" t="s">
        <v>3</v>
      </c>
      <c r="E14" s="1"/>
      <c r="F14" s="1"/>
    </row>
    <row r="15" spans="1:6" x14ac:dyDescent="0.25">
      <c r="A15" s="1"/>
      <c r="B15" s="34" t="s">
        <v>199</v>
      </c>
      <c r="C15" s="12">
        <f>SUM(C10:C14)</f>
        <v>3088503</v>
      </c>
      <c r="D15" s="13" t="s">
        <v>3</v>
      </c>
      <c r="E15" s="1"/>
      <c r="F15" s="1"/>
    </row>
    <row r="16" spans="1:6" x14ac:dyDescent="0.25">
      <c r="A16" s="1"/>
      <c r="B16" s="34" t="s">
        <v>200</v>
      </c>
      <c r="C16" s="12">
        <f>C15*(1+'Fane 14. Nøgletal'!C14)^2</f>
        <v>3108920.7535976702</v>
      </c>
      <c r="D16" s="13" t="s">
        <v>3</v>
      </c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16"/>
      <c r="C18" s="15"/>
      <c r="D18" s="15"/>
      <c r="E18" s="1"/>
      <c r="F18" s="1"/>
    </row>
    <row r="19" spans="1:6" x14ac:dyDescent="0.25">
      <c r="A19" s="1"/>
      <c r="B19" s="112" t="s">
        <v>128</v>
      </c>
      <c r="C19" s="113"/>
      <c r="D19" s="114"/>
      <c r="E19" s="1"/>
      <c r="F19" s="1"/>
    </row>
    <row r="20" spans="1:6" x14ac:dyDescent="0.25">
      <c r="A20" s="1"/>
      <c r="B20" s="58" t="s">
        <v>100</v>
      </c>
      <c r="C20" s="9">
        <v>0</v>
      </c>
      <c r="D20" s="14" t="s">
        <v>3</v>
      </c>
      <c r="E20" s="1"/>
      <c r="F20" s="1"/>
    </row>
    <row r="21" spans="1:6" x14ac:dyDescent="0.25">
      <c r="A21" s="1"/>
      <c r="B21" s="58" t="s">
        <v>101</v>
      </c>
      <c r="C21" s="9">
        <v>0</v>
      </c>
      <c r="D21" s="14" t="s">
        <v>3</v>
      </c>
      <c r="E21" s="1"/>
      <c r="F21" s="1"/>
    </row>
    <row r="22" spans="1:6" x14ac:dyDescent="0.25">
      <c r="A22" s="1"/>
      <c r="B22" s="58" t="s">
        <v>141</v>
      </c>
      <c r="C22" s="9">
        <v>0</v>
      </c>
      <c r="D22" s="14" t="s">
        <v>3</v>
      </c>
      <c r="E22" s="1"/>
      <c r="F22" s="1"/>
    </row>
    <row r="23" spans="1:6" x14ac:dyDescent="0.25">
      <c r="A23" s="1"/>
      <c r="B23" s="58" t="s">
        <v>201</v>
      </c>
      <c r="C23" s="9">
        <v>0</v>
      </c>
      <c r="D23" s="14" t="s">
        <v>3</v>
      </c>
      <c r="E23" s="1"/>
      <c r="F23" s="1"/>
    </row>
    <row r="24" spans="1:6" x14ac:dyDescent="0.25">
      <c r="A24" s="1"/>
      <c r="B24" s="112"/>
      <c r="C24" s="113"/>
      <c r="D24" s="114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12" t="s">
        <v>99</v>
      </c>
      <c r="C27" s="113"/>
      <c r="D27" s="114"/>
      <c r="E27" s="1"/>
      <c r="F27" s="1"/>
    </row>
    <row r="28" spans="1:6" x14ac:dyDescent="0.25">
      <c r="A28" s="1"/>
      <c r="B28" s="58" t="s">
        <v>100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58" t="s">
        <v>101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58" t="s">
        <v>141</v>
      </c>
      <c r="C30" s="9">
        <v>0</v>
      </c>
      <c r="D30" s="14" t="s">
        <v>3</v>
      </c>
      <c r="E30" s="1"/>
      <c r="F30" s="1"/>
    </row>
    <row r="31" spans="1:6" x14ac:dyDescent="0.25">
      <c r="A31" s="1"/>
      <c r="B31" s="58" t="s">
        <v>201</v>
      </c>
      <c r="C31" s="9">
        <v>0</v>
      </c>
      <c r="D31" s="14" t="s">
        <v>3</v>
      </c>
      <c r="E31" s="1"/>
      <c r="F31" s="1"/>
    </row>
    <row r="32" spans="1:6" x14ac:dyDescent="0.25">
      <c r="A32" s="1"/>
      <c r="B32" s="112"/>
      <c r="C32" s="113"/>
      <c r="D32" s="114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</sheetData>
  <sheetProtection algorithmName="SHA-512" hashValue="NjVfX1dLt++p4pWLbT3mwetoK7Pwsutatz5Qm8W6/6pv8gy70nEWF2uIkZC/ghB4k/9Kdz+vbwgYhqd3IbkymA==" saltValue="dW3ug95l8cEAbH/F2V+kHw==" spinCount="100000" sheet="1" objects="1" scenarios="1"/>
  <mergeCells count="6">
    <mergeCell ref="B32:D32"/>
    <mergeCell ref="B3:D4"/>
    <mergeCell ref="B8:D8"/>
    <mergeCell ref="B19:D19"/>
    <mergeCell ref="B27:D27"/>
    <mergeCell ref="B24:D24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4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84" t="s">
        <v>202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ht="15" customHeight="1" x14ac:dyDescent="0.25">
      <c r="A5" s="1"/>
      <c r="B5" s="50"/>
      <c r="C5" s="50"/>
      <c r="D5" s="50"/>
      <c r="E5" s="50"/>
      <c r="F5" s="50"/>
      <c r="G5" s="1"/>
    </row>
    <row r="6" spans="1:7" ht="15" customHeight="1" x14ac:dyDescent="0.25">
      <c r="A6" s="1"/>
      <c r="B6" s="50"/>
      <c r="C6" s="50"/>
      <c r="D6" s="50"/>
      <c r="E6" s="50"/>
      <c r="F6" s="50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12" t="s">
        <v>273</v>
      </c>
      <c r="C8" s="113"/>
      <c r="D8" s="113"/>
      <c r="E8" s="113"/>
      <c r="F8" s="114"/>
      <c r="G8" s="1"/>
    </row>
    <row r="9" spans="1:7" x14ac:dyDescent="0.25">
      <c r="A9" s="1"/>
      <c r="B9" s="106" t="s">
        <v>274</v>
      </c>
      <c r="C9" s="107"/>
      <c r="D9" s="108"/>
      <c r="E9" s="9">
        <v>-7439975.4035656452</v>
      </c>
      <c r="F9" s="14" t="s">
        <v>3</v>
      </c>
      <c r="G9" s="1"/>
    </row>
    <row r="10" spans="1:7" x14ac:dyDescent="0.25">
      <c r="A10" s="1"/>
      <c r="B10" s="106" t="s">
        <v>275</v>
      </c>
      <c r="C10" s="107"/>
      <c r="D10" s="108"/>
      <c r="E10" s="9">
        <v>-16548929.234935343</v>
      </c>
      <c r="F10" s="14" t="s">
        <v>3</v>
      </c>
      <c r="G10" s="1"/>
    </row>
    <row r="11" spans="1:7" x14ac:dyDescent="0.25">
      <c r="A11" s="1"/>
      <c r="B11" s="106" t="s">
        <v>276</v>
      </c>
      <c r="C11" s="107"/>
      <c r="D11" s="108"/>
      <c r="E11" s="9">
        <v>-6903471.974709183</v>
      </c>
      <c r="F11" s="14" t="s">
        <v>3</v>
      </c>
      <c r="G11" s="1"/>
    </row>
    <row r="12" spans="1:7" x14ac:dyDescent="0.25">
      <c r="A12" s="1"/>
      <c r="B12" s="34"/>
      <c r="C12" s="35"/>
      <c r="D12" s="35"/>
      <c r="E12" s="35"/>
      <c r="F12" s="20"/>
      <c r="G12" s="1"/>
    </row>
    <row r="13" spans="1:7" ht="52.5" customHeight="1" x14ac:dyDescent="0.25">
      <c r="A13" s="1"/>
      <c r="B13" s="94" t="s">
        <v>277</v>
      </c>
      <c r="C13" s="95"/>
      <c r="D13" s="95"/>
      <c r="E13" s="95"/>
      <c r="F13" s="96"/>
      <c r="G13" s="1"/>
    </row>
    <row r="14" spans="1:7" ht="27" customHeight="1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12" t="s">
        <v>278</v>
      </c>
      <c r="C15" s="113"/>
      <c r="D15" s="113"/>
      <c r="E15" s="113"/>
      <c r="F15" s="114"/>
      <c r="G15" s="1"/>
    </row>
    <row r="16" spans="1:7" x14ac:dyDescent="0.25">
      <c r="A16" s="1"/>
      <c r="B16" s="106" t="s">
        <v>279</v>
      </c>
      <c r="C16" s="107"/>
      <c r="D16" s="108"/>
      <c r="E16" s="9">
        <v>-15446188.319250494</v>
      </c>
      <c r="F16" s="14" t="s">
        <v>3</v>
      </c>
      <c r="G16" s="1"/>
    </row>
    <row r="17" spans="1:7" x14ac:dyDescent="0.25">
      <c r="A17" s="1"/>
      <c r="B17" s="106" t="s">
        <v>280</v>
      </c>
      <c r="C17" s="107"/>
      <c r="D17" s="108"/>
      <c r="E17" s="9">
        <v>-15446188.319250494</v>
      </c>
      <c r="F17" s="14" t="s">
        <v>3</v>
      </c>
      <c r="G17" s="1"/>
    </row>
    <row r="18" spans="1:7" x14ac:dyDescent="0.25">
      <c r="A18" s="1"/>
      <c r="B18" s="34"/>
      <c r="C18" s="35"/>
      <c r="D18" s="35"/>
      <c r="E18" s="35"/>
      <c r="F18" s="20"/>
      <c r="G18" s="1"/>
    </row>
    <row r="19" spans="1:7" ht="31.5" customHeight="1" x14ac:dyDescent="0.25">
      <c r="A19" s="1"/>
      <c r="B19" s="94" t="s">
        <v>281</v>
      </c>
      <c r="C19" s="95"/>
      <c r="D19" s="95"/>
      <c r="E19" s="95"/>
      <c r="F19" s="96"/>
      <c r="G19" s="1"/>
    </row>
    <row r="20" spans="1:7" ht="28.5" customHeight="1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52" t="s">
        <v>240</v>
      </c>
      <c r="C21" s="53"/>
      <c r="D21" s="53"/>
      <c r="E21" s="53"/>
      <c r="F21" s="54"/>
      <c r="G21" s="1"/>
    </row>
    <row r="22" spans="1:7" x14ac:dyDescent="0.25">
      <c r="A22" s="1"/>
      <c r="B22" s="55" t="s">
        <v>241</v>
      </c>
      <c r="C22" s="56"/>
      <c r="D22" s="57"/>
      <c r="E22" s="9">
        <v>154040582.23313335</v>
      </c>
      <c r="F22" s="14" t="s">
        <v>3</v>
      </c>
      <c r="G22" s="1"/>
    </row>
    <row r="23" spans="1:7" x14ac:dyDescent="0.25">
      <c r="A23" s="1"/>
      <c r="B23" s="55" t="s">
        <v>242</v>
      </c>
      <c r="C23" s="56"/>
      <c r="D23" s="57"/>
      <c r="E23" s="9">
        <v>146497631</v>
      </c>
      <c r="F23" s="14" t="s">
        <v>3</v>
      </c>
      <c r="G23" s="1"/>
    </row>
    <row r="24" spans="1:7" x14ac:dyDescent="0.25">
      <c r="A24" s="1"/>
      <c r="B24" s="55" t="s">
        <v>36</v>
      </c>
      <c r="C24" s="56"/>
      <c r="D24" s="57"/>
      <c r="E24" s="9">
        <v>0</v>
      </c>
      <c r="F24" s="14" t="s">
        <v>3</v>
      </c>
      <c r="G24" s="1"/>
    </row>
    <row r="25" spans="1:7" x14ac:dyDescent="0.25">
      <c r="A25" s="1"/>
      <c r="B25" s="46" t="s">
        <v>282</v>
      </c>
      <c r="C25" s="47"/>
      <c r="D25" s="48"/>
      <c r="E25" s="37">
        <f>E22-(E23-E24)</f>
        <v>7542951.2331333458</v>
      </c>
      <c r="F25" s="17" t="s">
        <v>3</v>
      </c>
      <c r="G25" s="1"/>
    </row>
    <row r="26" spans="1:7" x14ac:dyDescent="0.25">
      <c r="A26" s="1"/>
      <c r="B26" s="34"/>
      <c r="C26" s="35"/>
      <c r="D26" s="35"/>
      <c r="E26" s="35"/>
      <c r="F26" s="20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12" t="s">
        <v>169</v>
      </c>
      <c r="C29" s="113"/>
      <c r="D29" s="113"/>
      <c r="E29" s="113"/>
      <c r="F29" s="114"/>
      <c r="G29" s="1"/>
    </row>
    <row r="30" spans="1:7" x14ac:dyDescent="0.25">
      <c r="A30" s="1"/>
      <c r="B30" s="123" t="s">
        <v>170</v>
      </c>
      <c r="C30" s="124"/>
      <c r="D30" s="125"/>
      <c r="E30" s="9">
        <f>IF(AND(E9&lt;0,SUM(E10:E11,E25)&gt;0),E9,IF(AND(E9&lt;0,SUM(E10:E11,E25)&lt;0),E9+SUM(E10:E11,E25),IF(AND(E9&gt;0,SUM(E9:E11,E25)&gt;0),0,IF(AND(E9&gt;0,SUM(E9:E11,E25)&lt;0),SUM(E9:E11,E25)))))</f>
        <v>-23349425.380076826</v>
      </c>
      <c r="F30" s="14" t="s">
        <v>3</v>
      </c>
      <c r="G30" s="1"/>
    </row>
    <row r="31" spans="1:7" x14ac:dyDescent="0.25">
      <c r="A31" s="1"/>
      <c r="B31" s="123" t="s">
        <v>104</v>
      </c>
      <c r="C31" s="124"/>
      <c r="D31" s="125"/>
      <c r="E31" s="9">
        <v>2</v>
      </c>
      <c r="F31" s="14" t="s">
        <v>21</v>
      </c>
      <c r="G31" s="1"/>
    </row>
    <row r="32" spans="1:7" x14ac:dyDescent="0.25">
      <c r="A32" s="1"/>
      <c r="B32" s="126" t="s">
        <v>172</v>
      </c>
      <c r="C32" s="126"/>
      <c r="D32" s="126"/>
      <c r="E32" s="10">
        <f>E30/E31</f>
        <v>-11674712.690038413</v>
      </c>
      <c r="F32" s="17" t="s">
        <v>3</v>
      </c>
      <c r="G32" s="1"/>
    </row>
    <row r="33" spans="1:7" x14ac:dyDescent="0.25">
      <c r="A33" s="1"/>
      <c r="B33" s="120"/>
      <c r="C33" s="121"/>
      <c r="D33" s="121"/>
      <c r="E33" s="121"/>
      <c r="F33" s="122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</sheetData>
  <sheetProtection algorithmName="SHA-512" hashValue="+gPmyfL1CMtQg3HnNsvvlzmH4MP0L+vhJreeu08FTKgup6EGxZeSvdnfs+U8RvT7XIiuqnhpxG38YHYvw69upw==" saltValue="SnYfLTyYIMDRjYyx/2KKew==" spinCount="100000" sheet="1" objects="1" scenarios="1"/>
  <mergeCells count="15">
    <mergeCell ref="B33:F33"/>
    <mergeCell ref="B3:F4"/>
    <mergeCell ref="B8:F8"/>
    <mergeCell ref="B9:D9"/>
    <mergeCell ref="B10:D10"/>
    <mergeCell ref="B11:D11"/>
    <mergeCell ref="B13:F13"/>
    <mergeCell ref="B15:F15"/>
    <mergeCell ref="B16:D16"/>
    <mergeCell ref="B17:D17"/>
    <mergeCell ref="B19:F19"/>
    <mergeCell ref="B29:F29"/>
    <mergeCell ref="B30:D30"/>
    <mergeCell ref="B31:D31"/>
    <mergeCell ref="B32:D32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84" t="s">
        <v>203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112" t="s">
        <v>204</v>
      </c>
      <c r="C9" s="113"/>
      <c r="D9" s="113"/>
      <c r="E9" s="113"/>
      <c r="F9" s="113"/>
      <c r="G9" s="1"/>
    </row>
    <row r="10" spans="1:7" x14ac:dyDescent="0.25">
      <c r="A10" s="1"/>
      <c r="B10" s="94" t="s">
        <v>102</v>
      </c>
      <c r="C10" s="95"/>
      <c r="D10" s="96"/>
      <c r="E10" s="7">
        <v>0</v>
      </c>
      <c r="F10" s="8" t="s">
        <v>3</v>
      </c>
      <c r="G10" s="1"/>
    </row>
    <row r="11" spans="1:7" x14ac:dyDescent="0.25">
      <c r="A11" s="1"/>
      <c r="B11" s="106" t="s">
        <v>205</v>
      </c>
      <c r="C11" s="107"/>
      <c r="D11" s="108"/>
      <c r="E11" s="7">
        <v>0</v>
      </c>
      <c r="F11" s="8" t="s">
        <v>3</v>
      </c>
      <c r="G11" s="1"/>
    </row>
    <row r="12" spans="1:7" x14ac:dyDescent="0.25">
      <c r="A12" s="1"/>
      <c r="B12" s="103" t="s">
        <v>103</v>
      </c>
      <c r="C12" s="104"/>
      <c r="D12" s="105"/>
      <c r="E12" s="10">
        <f>E11-E10</f>
        <v>0</v>
      </c>
      <c r="F12" s="11" t="s">
        <v>3</v>
      </c>
      <c r="G12" s="1"/>
    </row>
    <row r="13" spans="1:7" x14ac:dyDescent="0.25">
      <c r="A13" s="1"/>
      <c r="B13" s="112" t="s">
        <v>93</v>
      </c>
      <c r="C13" s="113"/>
      <c r="D13" s="113"/>
      <c r="E13" s="113"/>
      <c r="F13" s="113"/>
      <c r="G13" s="1"/>
    </row>
    <row r="14" spans="1:7" x14ac:dyDescent="0.25">
      <c r="A14" s="1"/>
      <c r="B14" s="106" t="s">
        <v>206</v>
      </c>
      <c r="C14" s="107"/>
      <c r="D14" s="108"/>
      <c r="E14" s="9">
        <v>0</v>
      </c>
      <c r="F14" s="8" t="s">
        <v>3</v>
      </c>
      <c r="G14" s="1"/>
    </row>
    <row r="15" spans="1:7" x14ac:dyDescent="0.25">
      <c r="A15" s="1"/>
      <c r="B15" s="94" t="s">
        <v>207</v>
      </c>
      <c r="C15" s="95"/>
      <c r="D15" s="96"/>
      <c r="E15" s="9">
        <v>0</v>
      </c>
      <c r="F15" s="8" t="s">
        <v>3</v>
      </c>
      <c r="G15" s="1"/>
    </row>
    <row r="16" spans="1:7" x14ac:dyDescent="0.25">
      <c r="A16" s="1"/>
      <c r="B16" s="103" t="s">
        <v>103</v>
      </c>
      <c r="C16" s="104"/>
      <c r="D16" s="105"/>
      <c r="E16" s="10">
        <f>E15-E14</f>
        <v>0</v>
      </c>
      <c r="F16" s="11" t="s">
        <v>3</v>
      </c>
      <c r="G16" s="1"/>
    </row>
    <row r="17" spans="1:7" ht="15" customHeight="1" x14ac:dyDescent="0.25">
      <c r="A17" s="1"/>
      <c r="B17" s="34" t="s">
        <v>208</v>
      </c>
      <c r="C17" s="35"/>
      <c r="D17" s="35"/>
      <c r="E17" s="12">
        <f>E12+E16</f>
        <v>0</v>
      </c>
      <c r="F17" s="13" t="s">
        <v>3</v>
      </c>
      <c r="G17" s="1"/>
    </row>
    <row r="18" spans="1:7" ht="15" customHeight="1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6krpYXSLYJT5NBhM9pCRSLTpX6ddSw1+7j7AhTKrIKej0mDx42DWihifhkJ5p60dWsdPZpGa3oLwtsThtpv85Q==" saltValue="mVMoczSl9x0FSMWfReGqww==" spinCount="100000" sheet="1" objects="1" scenarios="1"/>
  <mergeCells count="9">
    <mergeCell ref="B13:F13"/>
    <mergeCell ref="B16:D16"/>
    <mergeCell ref="B3:F4"/>
    <mergeCell ref="B10:D10"/>
    <mergeCell ref="B11:D11"/>
    <mergeCell ref="B14:D14"/>
    <mergeCell ref="B15:D15"/>
    <mergeCell ref="B9:F9"/>
    <mergeCell ref="B12:D12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2" t="s">
        <v>155</v>
      </c>
      <c r="C3" s="82"/>
      <c r="D3" s="82"/>
      <c r="E3" s="82"/>
      <c r="F3" s="82"/>
      <c r="G3" s="82"/>
      <c r="H3" s="82"/>
      <c r="I3" s="1"/>
    </row>
    <row r="4" spans="1:9" ht="15" customHeight="1" x14ac:dyDescent="0.25">
      <c r="A4" s="1"/>
      <c r="B4" s="82"/>
      <c r="C4" s="82"/>
      <c r="D4" s="82"/>
      <c r="E4" s="82"/>
      <c r="F4" s="82"/>
      <c r="G4" s="82"/>
      <c r="H4" s="8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12" t="s">
        <v>156</v>
      </c>
      <c r="C8" s="113"/>
      <c r="D8" s="113"/>
      <c r="E8" s="113"/>
      <c r="F8" s="113"/>
      <c r="G8" s="113"/>
      <c r="H8" s="114"/>
      <c r="I8" s="1"/>
    </row>
    <row r="9" spans="1:9" ht="39.75" customHeight="1" x14ac:dyDescent="0.25">
      <c r="A9" s="1"/>
      <c r="B9" s="19" t="s">
        <v>0</v>
      </c>
      <c r="C9" s="19" t="s">
        <v>1</v>
      </c>
      <c r="D9" s="19" t="s">
        <v>11</v>
      </c>
      <c r="E9" s="11" t="s">
        <v>2</v>
      </c>
      <c r="F9" s="11" t="s">
        <v>12</v>
      </c>
      <c r="G9" s="11" t="s">
        <v>33</v>
      </c>
      <c r="H9" s="62"/>
      <c r="I9" s="1"/>
    </row>
    <row r="10" spans="1:9" x14ac:dyDescent="0.25">
      <c r="A10" s="1"/>
      <c r="B10" s="60" t="s">
        <v>285</v>
      </c>
      <c r="C10" s="38">
        <v>0</v>
      </c>
      <c r="D10" s="9">
        <v>0</v>
      </c>
      <c r="E10" s="9">
        <f>IFERROR(D10/C10,0)</f>
        <v>0</v>
      </c>
      <c r="F10" s="9">
        <v>0</v>
      </c>
      <c r="G10" s="9">
        <v>0</v>
      </c>
      <c r="H10" s="14" t="s">
        <v>3</v>
      </c>
      <c r="I10" s="1"/>
    </row>
    <row r="11" spans="1:9" x14ac:dyDescent="0.25">
      <c r="A11" s="1"/>
      <c r="B11" s="112" t="s">
        <v>157</v>
      </c>
      <c r="C11" s="113"/>
      <c r="D11" s="114"/>
      <c r="E11" s="12">
        <f>SUM(E10:E10)</f>
        <v>0</v>
      </c>
      <c r="F11" s="12">
        <f>SUM(F10:F10)</f>
        <v>0</v>
      </c>
      <c r="G11" s="12">
        <f>SUM(G10:G10)</f>
        <v>0</v>
      </c>
      <c r="H11" s="13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Px6QKxKj5BFhR175UdS8iiOwiEcaCUlUI8Q8BTJ0Boq7TcRq8L/e6I/ZuGoGqhW8VdtWxX0numcojsR+L1U2Uw==" saltValue="W3K+8mYyeBKIDQ+z5rwgMQ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2" t="s">
        <v>118</v>
      </c>
      <c r="C3" s="82"/>
      <c r="D3" s="82"/>
      <c r="E3" s="82"/>
      <c r="F3" s="82"/>
      <c r="G3" s="1"/>
    </row>
    <row r="4" spans="1:7" ht="15" customHeight="1" x14ac:dyDescent="0.25">
      <c r="A4" s="1"/>
      <c r="B4" s="82"/>
      <c r="C4" s="82"/>
      <c r="D4" s="82"/>
      <c r="E4" s="82"/>
      <c r="F4" s="8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4" t="s">
        <v>72</v>
      </c>
      <c r="C8" s="35"/>
      <c r="D8" s="35"/>
      <c r="E8" s="35"/>
      <c r="F8" s="20"/>
      <c r="G8" s="1"/>
    </row>
    <row r="9" spans="1:7" ht="17.25" customHeight="1" x14ac:dyDescent="0.25">
      <c r="A9" s="1"/>
      <c r="B9" s="40" t="s">
        <v>18</v>
      </c>
      <c r="C9" s="40" t="s">
        <v>12</v>
      </c>
      <c r="D9" s="41"/>
      <c r="E9" s="40" t="s">
        <v>34</v>
      </c>
      <c r="F9" s="62"/>
      <c r="G9" s="1"/>
    </row>
    <row r="10" spans="1:7" x14ac:dyDescent="0.25">
      <c r="A10" s="1"/>
      <c r="B10" s="24" t="s">
        <v>158</v>
      </c>
      <c r="C10" s="22">
        <f>'Fane 9. Anlægsprojekter'!F11</f>
        <v>0</v>
      </c>
      <c r="D10" s="14" t="s">
        <v>3</v>
      </c>
      <c r="E10" s="9">
        <f>SUM('Fane 9. Anlægsprojekter'!E11,'Fane 9. Anlægsprojekter'!G11)</f>
        <v>0</v>
      </c>
      <c r="F10" s="14" t="s">
        <v>3</v>
      </c>
      <c r="G10" s="1"/>
    </row>
    <row r="11" spans="1:7" x14ac:dyDescent="0.25">
      <c r="A11" s="1"/>
      <c r="B11" s="24" t="s">
        <v>289</v>
      </c>
      <c r="C11" s="22">
        <v>26182</v>
      </c>
      <c r="D11" s="14" t="s">
        <v>3</v>
      </c>
      <c r="E11" s="9">
        <v>759670</v>
      </c>
      <c r="F11" s="14" t="s">
        <v>3</v>
      </c>
      <c r="G11" s="1"/>
    </row>
    <row r="12" spans="1:7" x14ac:dyDescent="0.25">
      <c r="A12" s="1"/>
      <c r="B12" s="39" t="s">
        <v>286</v>
      </c>
      <c r="C12" s="22">
        <v>1143151</v>
      </c>
      <c r="D12" s="14" t="s">
        <v>3</v>
      </c>
      <c r="E12" s="9">
        <v>488896</v>
      </c>
      <c r="F12" s="14" t="s">
        <v>3</v>
      </c>
      <c r="G12" s="1"/>
    </row>
    <row r="13" spans="1:7" x14ac:dyDescent="0.25">
      <c r="A13" s="1"/>
      <c r="B13" s="34" t="s">
        <v>142</v>
      </c>
      <c r="C13" s="12">
        <f>SUM(C10:C12)</f>
        <v>1169333</v>
      </c>
      <c r="D13" s="13" t="s">
        <v>3</v>
      </c>
      <c r="E13" s="12">
        <f>SUM(E10:E12)</f>
        <v>1248566</v>
      </c>
      <c r="F13" s="13" t="s">
        <v>3</v>
      </c>
      <c r="G13" s="1"/>
    </row>
    <row r="14" spans="1:7" x14ac:dyDescent="0.25">
      <c r="A14" s="1"/>
      <c r="B14" s="34" t="s">
        <v>209</v>
      </c>
      <c r="C14" s="12">
        <f>C13*(1+'Fane 14. Nøgletal'!C14)</f>
        <v>1173191.7989000001</v>
      </c>
      <c r="D14" s="13" t="s">
        <v>3</v>
      </c>
      <c r="E14" s="12">
        <f>E13*(1+'Fane 14. Nøgletal'!C14)</f>
        <v>1252686.2678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MrG0uIGtptuE/B+BFlbnLfsqhOZjNDHqaPwr4G2kjDaIAxTuTV1Uvmz4WscWX4c9TeYCgD678+S+bgGxPoo+Vw==" saltValue="pok80u3wz7bu16R8yivWMA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2" t="s">
        <v>117</v>
      </c>
      <c r="C3" s="82"/>
      <c r="D3" s="82"/>
      <c r="E3" s="82"/>
      <c r="F3" s="82"/>
      <c r="G3" s="1"/>
    </row>
    <row r="4" spans="1:7" ht="15" customHeight="1" x14ac:dyDescent="0.25">
      <c r="A4" s="1"/>
      <c r="B4" s="82"/>
      <c r="C4" s="82"/>
      <c r="D4" s="82"/>
      <c r="E4" s="82"/>
      <c r="F4" s="8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12" t="s">
        <v>96</v>
      </c>
      <c r="C8" s="113"/>
      <c r="D8" s="113"/>
      <c r="E8" s="113"/>
      <c r="F8" s="114"/>
      <c r="G8" s="1"/>
    </row>
    <row r="9" spans="1:7" x14ac:dyDescent="0.25">
      <c r="A9" s="1"/>
      <c r="B9" s="40" t="s">
        <v>18</v>
      </c>
      <c r="C9" s="40" t="s">
        <v>12</v>
      </c>
      <c r="D9" s="41"/>
      <c r="E9" s="40" t="s">
        <v>34</v>
      </c>
      <c r="F9" s="62"/>
      <c r="G9" s="1"/>
    </row>
    <row r="10" spans="1:7" x14ac:dyDescent="0.25">
      <c r="A10" s="1"/>
      <c r="B10" s="24" t="s">
        <v>287</v>
      </c>
      <c r="C10" s="22">
        <v>0</v>
      </c>
      <c r="D10" s="14" t="s">
        <v>3</v>
      </c>
      <c r="E10" s="22">
        <v>0</v>
      </c>
      <c r="F10" s="14" t="s">
        <v>3</v>
      </c>
      <c r="G10" s="1"/>
    </row>
    <row r="11" spans="1:7" x14ac:dyDescent="0.25">
      <c r="A11" s="1"/>
      <c r="B11" s="34" t="s">
        <v>210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6" t="s">
        <v>10</v>
      </c>
      <c r="C12" s="27">
        <f>-C11*'Fane 5. Individuelt eff. krav'!G11</f>
        <v>0</v>
      </c>
      <c r="D12" s="28" t="s">
        <v>3</v>
      </c>
      <c r="E12" s="27">
        <f>-E11*'Fane 5. Individuelt eff. krav'!G11</f>
        <v>0</v>
      </c>
      <c r="F12" s="28" t="s">
        <v>3</v>
      </c>
      <c r="G12" s="1"/>
    </row>
    <row r="13" spans="1:7" x14ac:dyDescent="0.25">
      <c r="A13" s="1"/>
      <c r="B13" s="26" t="s">
        <v>98</v>
      </c>
      <c r="C13" s="27">
        <f>-C11*'Fane 14. Nøgletal'!C29</f>
        <v>0</v>
      </c>
      <c r="D13" s="28" t="s">
        <v>3</v>
      </c>
      <c r="E13" s="27">
        <f>-E11*'Fane 14. Nøgletal'!C24</f>
        <v>0</v>
      </c>
      <c r="F13" s="28" t="s">
        <v>3</v>
      </c>
      <c r="G13" s="1"/>
    </row>
    <row r="14" spans="1:7" x14ac:dyDescent="0.25">
      <c r="A14" s="1"/>
      <c r="B14" s="34" t="s">
        <v>143</v>
      </c>
      <c r="C14" s="12">
        <f>SUM(C11:C13)*(1+'Fane 14. Nøgletal'!C14)^2</f>
        <v>0</v>
      </c>
      <c r="D14" s="13" t="s">
        <v>3</v>
      </c>
      <c r="E14" s="12">
        <f>SUM(E11:E13)*(1+'Fane 14. Nøgletal'!C14)^2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12" t="s">
        <v>97</v>
      </c>
      <c r="C16" s="113"/>
      <c r="D16" s="113"/>
      <c r="E16" s="113"/>
      <c r="F16" s="114"/>
      <c r="G16" s="1"/>
    </row>
    <row r="17" spans="1:7" x14ac:dyDescent="0.25">
      <c r="A17" s="1"/>
      <c r="B17" s="40" t="s">
        <v>18</v>
      </c>
      <c r="C17" s="40" t="s">
        <v>12</v>
      </c>
      <c r="D17" s="41"/>
      <c r="E17" s="40" t="s">
        <v>34</v>
      </c>
      <c r="F17" s="62"/>
      <c r="G17" s="1"/>
    </row>
    <row r="18" spans="1:7" x14ac:dyDescent="0.25">
      <c r="A18" s="1"/>
      <c r="B18" s="24" t="s">
        <v>287</v>
      </c>
      <c r="C18" s="22">
        <v>0</v>
      </c>
      <c r="D18" s="14" t="s">
        <v>3</v>
      </c>
      <c r="E18" s="22">
        <v>0</v>
      </c>
      <c r="F18" s="14" t="s">
        <v>3</v>
      </c>
      <c r="G18" s="1"/>
    </row>
    <row r="19" spans="1:7" x14ac:dyDescent="0.25">
      <c r="A19" s="1"/>
      <c r="B19" s="34" t="s">
        <v>210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6" t="s">
        <v>10</v>
      </c>
      <c r="C20" s="27">
        <f>-C19*'Fane 5. Individuelt eff. krav'!G11</f>
        <v>0</v>
      </c>
      <c r="D20" s="28" t="s">
        <v>3</v>
      </c>
      <c r="E20" s="27">
        <f>-E19*'Fane 5. Individuelt eff. krav'!G11</f>
        <v>0</v>
      </c>
      <c r="F20" s="28" t="s">
        <v>3</v>
      </c>
      <c r="G20" s="1"/>
    </row>
    <row r="21" spans="1:7" x14ac:dyDescent="0.25">
      <c r="A21" s="1"/>
      <c r="B21" s="26" t="s">
        <v>98</v>
      </c>
      <c r="C21" s="27">
        <f>-C19*'Fane 14. Nøgletal'!C29</f>
        <v>0</v>
      </c>
      <c r="D21" s="28" t="s">
        <v>3</v>
      </c>
      <c r="E21" s="27">
        <f>-E19*'Fane 14. Nøgletal'!C24</f>
        <v>0</v>
      </c>
      <c r="F21" s="28" t="s">
        <v>3</v>
      </c>
      <c r="G21" s="1"/>
    </row>
    <row r="22" spans="1:7" x14ac:dyDescent="0.25">
      <c r="A22" s="1"/>
      <c r="B22" s="34" t="s">
        <v>211</v>
      </c>
      <c r="C22" s="12">
        <f>SUM(C19:C21)*(1+'Fane 14. Nøgletal'!C14)^3</f>
        <v>0</v>
      </c>
      <c r="D22" s="13" t="s">
        <v>3</v>
      </c>
      <c r="E22" s="12">
        <f>SUM(E19:E21)*(1+'Fane 14. Nøgletal'!C14)^3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12" t="s">
        <v>144</v>
      </c>
      <c r="C24" s="113"/>
      <c r="D24" s="113"/>
      <c r="E24" s="113"/>
      <c r="F24" s="114"/>
      <c r="G24" s="1"/>
    </row>
    <row r="25" spans="1:7" x14ac:dyDescent="0.25">
      <c r="A25" s="1"/>
      <c r="B25" s="40" t="s">
        <v>18</v>
      </c>
      <c r="C25" s="40" t="s">
        <v>12</v>
      </c>
      <c r="D25" s="41"/>
      <c r="E25" s="40" t="s">
        <v>34</v>
      </c>
      <c r="F25" s="62"/>
      <c r="G25" s="1"/>
    </row>
    <row r="26" spans="1:7" x14ac:dyDescent="0.25">
      <c r="A26" s="1"/>
      <c r="B26" s="24" t="s">
        <v>287</v>
      </c>
      <c r="C26" s="22">
        <v>0</v>
      </c>
      <c r="D26" s="14" t="s">
        <v>3</v>
      </c>
      <c r="E26" s="22">
        <v>0</v>
      </c>
      <c r="F26" s="14" t="s">
        <v>3</v>
      </c>
      <c r="G26" s="1"/>
    </row>
    <row r="27" spans="1:7" x14ac:dyDescent="0.25">
      <c r="A27" s="1"/>
      <c r="B27" s="34" t="s">
        <v>210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6" t="s">
        <v>10</v>
      </c>
      <c r="C28" s="27">
        <f>-C27*'Fane 5. Individuelt eff. krav'!G11</f>
        <v>0</v>
      </c>
      <c r="D28" s="28" t="s">
        <v>3</v>
      </c>
      <c r="E28" s="27">
        <f>-E27*'Fane 5. Individuelt eff. krav'!G11</f>
        <v>0</v>
      </c>
      <c r="F28" s="28" t="s">
        <v>3</v>
      </c>
      <c r="G28" s="1"/>
    </row>
    <row r="29" spans="1:7" x14ac:dyDescent="0.25">
      <c r="A29" s="1"/>
      <c r="B29" s="26" t="s">
        <v>98</v>
      </c>
      <c r="C29" s="27">
        <f>-C27*'Fane 14. Nøgletal'!C29</f>
        <v>0</v>
      </c>
      <c r="D29" s="28" t="s">
        <v>3</v>
      </c>
      <c r="E29" s="27">
        <f>-E27*'Fane 14. Nøgletal'!C24</f>
        <v>0</v>
      </c>
      <c r="F29" s="28" t="s">
        <v>3</v>
      </c>
      <c r="G29" s="1"/>
    </row>
    <row r="30" spans="1:7" x14ac:dyDescent="0.25">
      <c r="A30" s="1"/>
      <c r="B30" s="34" t="s">
        <v>213</v>
      </c>
      <c r="C30" s="12">
        <f>SUM(C27:C29)*(1+'Fane 14. Nøgletal'!C14)^4</f>
        <v>0</v>
      </c>
      <c r="D30" s="13" t="s">
        <v>3</v>
      </c>
      <c r="E30" s="12">
        <f>SUM(E27:E29)*(1+'Fane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12" t="s">
        <v>212</v>
      </c>
      <c r="C32" s="113"/>
      <c r="D32" s="113"/>
      <c r="E32" s="113"/>
      <c r="F32" s="114"/>
      <c r="G32" s="1"/>
    </row>
    <row r="33" spans="1:7" x14ac:dyDescent="0.25">
      <c r="A33" s="1"/>
      <c r="B33" s="40" t="s">
        <v>18</v>
      </c>
      <c r="C33" s="40" t="s">
        <v>12</v>
      </c>
      <c r="D33" s="41"/>
      <c r="E33" s="40" t="s">
        <v>34</v>
      </c>
      <c r="F33" s="62"/>
      <c r="G33" s="1"/>
    </row>
    <row r="34" spans="1:7" x14ac:dyDescent="0.25">
      <c r="A34" s="1"/>
      <c r="B34" s="24" t="s">
        <v>287</v>
      </c>
      <c r="C34" s="22">
        <v>0</v>
      </c>
      <c r="D34" s="14" t="s">
        <v>3</v>
      </c>
      <c r="E34" s="22">
        <v>0</v>
      </c>
      <c r="F34" s="14" t="s">
        <v>3</v>
      </c>
      <c r="G34" s="1"/>
    </row>
    <row r="35" spans="1:7" x14ac:dyDescent="0.25">
      <c r="A35" s="1"/>
      <c r="B35" s="34" t="s">
        <v>210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6" t="s">
        <v>10</v>
      </c>
      <c r="C36" s="27">
        <f>-C35*'Fane 5. Individuelt eff. krav'!G11</f>
        <v>0</v>
      </c>
      <c r="D36" s="28" t="s">
        <v>3</v>
      </c>
      <c r="E36" s="27">
        <f>-E35*'Fane 5. Individuelt eff. krav'!G11</f>
        <v>0</v>
      </c>
      <c r="F36" s="28" t="s">
        <v>3</v>
      </c>
      <c r="G36" s="1"/>
    </row>
    <row r="37" spans="1:7" x14ac:dyDescent="0.25">
      <c r="A37" s="1"/>
      <c r="B37" s="26" t="s">
        <v>98</v>
      </c>
      <c r="C37" s="27">
        <f>-C35*'Fane 14. Nøgletal'!C29</f>
        <v>0</v>
      </c>
      <c r="D37" s="28" t="s">
        <v>3</v>
      </c>
      <c r="E37" s="27">
        <f>-E35*'Fane 14. Nøgletal'!C24</f>
        <v>0</v>
      </c>
      <c r="F37" s="28" t="s">
        <v>3</v>
      </c>
      <c r="G37" s="1"/>
    </row>
    <row r="38" spans="1:7" x14ac:dyDescent="0.25">
      <c r="A38" s="1"/>
      <c r="B38" s="34" t="s">
        <v>214</v>
      </c>
      <c r="C38" s="12">
        <f>SUM(C35:C37)*(1+'Fane 14. Nøgletal'!C14)^5</f>
        <v>0</v>
      </c>
      <c r="D38" s="13" t="s">
        <v>3</v>
      </c>
      <c r="E38" s="12">
        <f>SUM(E35:E37)*(1+'Fane 14. Nøgletal'!C14)^5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UdsNUHHTHI9SwUUiO0BTqKqWicYA+BEEf5yFPJXpBHEUICawo03CGQjT1mDpWKyG9jIRBH6083VGOKJE977CaQ==" saltValue="nbd6nlWaGvr5RYi1B01uWg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127</v>
      </c>
      <c r="C3" s="84"/>
      <c r="D3" s="84"/>
      <c r="E3" s="84"/>
      <c r="F3" s="84"/>
      <c r="G3" s="1"/>
    </row>
    <row r="4" spans="1:7" ht="1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84"/>
      <c r="C5" s="84"/>
      <c r="D5" s="84"/>
      <c r="E5" s="84"/>
      <c r="F5" s="84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12" t="s">
        <v>87</v>
      </c>
      <c r="C8" s="113"/>
      <c r="D8" s="113"/>
      <c r="E8" s="113"/>
      <c r="F8" s="114"/>
      <c r="G8" s="1"/>
    </row>
    <row r="9" spans="1:7" x14ac:dyDescent="0.25">
      <c r="A9" s="1"/>
      <c r="B9" s="127" t="s">
        <v>215</v>
      </c>
      <c r="C9" s="128"/>
      <c r="D9" s="129"/>
      <c r="E9" s="9">
        <v>0</v>
      </c>
      <c r="F9" s="14" t="s">
        <v>3</v>
      </c>
      <c r="G9" s="1"/>
    </row>
    <row r="10" spans="1:7" x14ac:dyDescent="0.25">
      <c r="A10" s="1"/>
      <c r="B10" s="91" t="s">
        <v>10</v>
      </c>
      <c r="C10" s="92"/>
      <c r="D10" s="93"/>
      <c r="E10" s="9">
        <f>-E9*'Fane 5. Individuelt eff. krav'!G11</f>
        <v>0</v>
      </c>
      <c r="F10" s="14" t="s">
        <v>3</v>
      </c>
      <c r="G10" s="1"/>
    </row>
    <row r="11" spans="1:7" x14ac:dyDescent="0.25">
      <c r="A11" s="1"/>
      <c r="B11" s="91" t="s">
        <v>27</v>
      </c>
      <c r="C11" s="92"/>
      <c r="D11" s="93"/>
      <c r="E11" s="9">
        <f>-E9*'Fane 14. Nøgletal'!C29</f>
        <v>0</v>
      </c>
      <c r="F11" s="14" t="s">
        <v>3</v>
      </c>
      <c r="G11" s="1"/>
    </row>
    <row r="12" spans="1:7" x14ac:dyDescent="0.25">
      <c r="A12" s="1"/>
      <c r="B12" s="112" t="s">
        <v>89</v>
      </c>
      <c r="C12" s="113"/>
      <c r="D12" s="114"/>
      <c r="E12" s="12">
        <f>SUM(E9:E11)*(1+'Fane 14. Nøgletal'!C14)^2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12" t="s">
        <v>88</v>
      </c>
      <c r="C14" s="113"/>
      <c r="D14" s="113"/>
      <c r="E14" s="113"/>
      <c r="F14" s="114"/>
      <c r="G14" s="1"/>
    </row>
    <row r="15" spans="1:7" x14ac:dyDescent="0.25">
      <c r="A15" s="1"/>
      <c r="B15" s="127" t="s">
        <v>215</v>
      </c>
      <c r="C15" s="128"/>
      <c r="D15" s="129"/>
      <c r="E15" s="9">
        <v>0</v>
      </c>
      <c r="F15" s="14" t="s">
        <v>3</v>
      </c>
      <c r="G15" s="1"/>
    </row>
    <row r="16" spans="1:7" x14ac:dyDescent="0.25">
      <c r="A16" s="1"/>
      <c r="B16" s="91" t="s">
        <v>10</v>
      </c>
      <c r="C16" s="92"/>
      <c r="D16" s="93"/>
      <c r="E16" s="9">
        <f>-E15*'Fane 5. Individuelt eff. krav'!G11</f>
        <v>0</v>
      </c>
      <c r="F16" s="14" t="s">
        <v>3</v>
      </c>
      <c r="G16" s="1"/>
    </row>
    <row r="17" spans="1:7" x14ac:dyDescent="0.25">
      <c r="A17" s="1"/>
      <c r="B17" s="91" t="s">
        <v>27</v>
      </c>
      <c r="C17" s="92"/>
      <c r="D17" s="93"/>
      <c r="E17" s="9">
        <f>-E15*'Fane 14. Nøgletal'!C29</f>
        <v>0</v>
      </c>
      <c r="F17" s="14" t="s">
        <v>3</v>
      </c>
      <c r="G17" s="1"/>
    </row>
    <row r="18" spans="1:7" x14ac:dyDescent="0.25">
      <c r="A18" s="1"/>
      <c r="B18" s="112" t="s">
        <v>90</v>
      </c>
      <c r="C18" s="113"/>
      <c r="D18" s="114"/>
      <c r="E18" s="12">
        <f>SUM(E15:E17)*(1+'Fane 14. Nøgletal'!C14)^3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12" t="s">
        <v>145</v>
      </c>
      <c r="C20" s="113"/>
      <c r="D20" s="113"/>
      <c r="E20" s="113"/>
      <c r="F20" s="114"/>
      <c r="G20" s="1"/>
    </row>
    <row r="21" spans="1:7" x14ac:dyDescent="0.25">
      <c r="A21" s="1"/>
      <c r="B21" s="127" t="s">
        <v>215</v>
      </c>
      <c r="C21" s="128"/>
      <c r="D21" s="129"/>
      <c r="E21" s="9">
        <v>0</v>
      </c>
      <c r="F21" s="14" t="s">
        <v>3</v>
      </c>
      <c r="G21" s="1"/>
    </row>
    <row r="22" spans="1:7" x14ac:dyDescent="0.25">
      <c r="A22" s="1"/>
      <c r="B22" s="91" t="s">
        <v>10</v>
      </c>
      <c r="C22" s="92"/>
      <c r="D22" s="93"/>
      <c r="E22" s="9">
        <f>-E21*'Fane 5. Individuelt eff. krav'!G11</f>
        <v>0</v>
      </c>
      <c r="F22" s="14" t="s">
        <v>3</v>
      </c>
      <c r="G22" s="1"/>
    </row>
    <row r="23" spans="1:7" x14ac:dyDescent="0.25">
      <c r="A23" s="1"/>
      <c r="B23" s="91" t="s">
        <v>27</v>
      </c>
      <c r="C23" s="92"/>
      <c r="D23" s="93"/>
      <c r="E23" s="9">
        <f>-E21*'Fane 14. Nøgletal'!C29</f>
        <v>0</v>
      </c>
      <c r="F23" s="14" t="s">
        <v>3</v>
      </c>
      <c r="G23" s="1"/>
    </row>
    <row r="24" spans="1:7" x14ac:dyDescent="0.25">
      <c r="A24" s="1"/>
      <c r="B24" s="112" t="s">
        <v>146</v>
      </c>
      <c r="C24" s="113"/>
      <c r="D24" s="114"/>
      <c r="E24" s="12">
        <f>SUM(E21:E23)*(1+'Fane 14. Nøgletal'!C14)^4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12" t="s">
        <v>216</v>
      </c>
      <c r="C26" s="113"/>
      <c r="D26" s="113"/>
      <c r="E26" s="113"/>
      <c r="F26" s="114"/>
      <c r="G26" s="1"/>
    </row>
    <row r="27" spans="1:7" x14ac:dyDescent="0.25">
      <c r="A27" s="1"/>
      <c r="B27" s="127" t="s">
        <v>215</v>
      </c>
      <c r="C27" s="128"/>
      <c r="D27" s="129"/>
      <c r="E27" s="9">
        <v>0</v>
      </c>
      <c r="F27" s="14" t="s">
        <v>3</v>
      </c>
      <c r="G27" s="1"/>
    </row>
    <row r="28" spans="1:7" x14ac:dyDescent="0.25">
      <c r="A28" s="1"/>
      <c r="B28" s="91" t="s">
        <v>10</v>
      </c>
      <c r="C28" s="92"/>
      <c r="D28" s="93"/>
      <c r="E28" s="9">
        <f>-E27*'Fane 5. Individuelt eff. krav'!G11</f>
        <v>0</v>
      </c>
      <c r="F28" s="14" t="s">
        <v>3</v>
      </c>
      <c r="G28" s="1"/>
    </row>
    <row r="29" spans="1:7" x14ac:dyDescent="0.25">
      <c r="A29" s="1"/>
      <c r="B29" s="91" t="s">
        <v>27</v>
      </c>
      <c r="C29" s="92"/>
      <c r="D29" s="93"/>
      <c r="E29" s="9">
        <f>-E27*'Fane 14. Nøgletal'!C29</f>
        <v>0</v>
      </c>
      <c r="F29" s="14" t="s">
        <v>3</v>
      </c>
      <c r="G29" s="1"/>
    </row>
    <row r="30" spans="1:7" x14ac:dyDescent="0.25">
      <c r="A30" s="1"/>
      <c r="B30" s="112" t="s">
        <v>217</v>
      </c>
      <c r="C30" s="113"/>
      <c r="D30" s="114"/>
      <c r="E30" s="12">
        <f>SUM(E27:E29)*(1+'Fane 14. Nøgletal'!C14)^5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SEccAuqEi082OJJ7yP6N2aTy5vlsqUJ2hjKB1Y2fqQaKjtoLPudQA6Ke97wZYJqe8PDxZssRoEOnn2dmsob2qA==" saltValue="lqBa/RFmS1XYkhh29ItWPg==" spinCount="100000" sheet="1" objects="1" scenarios="1"/>
  <mergeCells count="21">
    <mergeCell ref="B12:D12"/>
    <mergeCell ref="B10:D10"/>
    <mergeCell ref="B11:D11"/>
    <mergeCell ref="B16:D16"/>
    <mergeCell ref="B17:D17"/>
    <mergeCell ref="B3:F5"/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8:F8"/>
    <mergeCell ref="B9:D9"/>
    <mergeCell ref="B18:D18"/>
    <mergeCell ref="B20:F20"/>
    <mergeCell ref="B14:F14"/>
    <mergeCell ref="B15:D1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4" style="2" customWidth="1"/>
    <col min="4" max="4" width="3.28515625" style="2" customWidth="1"/>
    <col min="5" max="5" width="14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147</v>
      </c>
      <c r="C3" s="84"/>
      <c r="D3" s="84"/>
      <c r="E3" s="84"/>
      <c r="F3" s="84"/>
      <c r="G3" s="1"/>
    </row>
    <row r="4" spans="1:7" ht="25.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12" t="s">
        <v>148</v>
      </c>
      <c r="C8" s="113"/>
      <c r="D8" s="113"/>
      <c r="E8" s="113"/>
      <c r="F8" s="114"/>
      <c r="G8" s="1"/>
    </row>
    <row r="9" spans="1:7" ht="15" customHeight="1" x14ac:dyDescent="0.25">
      <c r="A9" s="1"/>
      <c r="B9" s="61" t="s">
        <v>149</v>
      </c>
      <c r="C9" s="97" t="s">
        <v>12</v>
      </c>
      <c r="D9" s="99"/>
      <c r="E9" s="130" t="s">
        <v>34</v>
      </c>
      <c r="F9" s="131"/>
      <c r="G9" s="1"/>
    </row>
    <row r="10" spans="1:7" x14ac:dyDescent="0.25">
      <c r="A10" s="1"/>
      <c r="B10" s="24" t="s">
        <v>266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1" t="s">
        <v>150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1" t="s">
        <v>218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9RLVzQ292TDgNZdEQ9qKyvVu3o2asQZ6MgEzxUGc9dYu9xpWIny0fmzAMANBeZxc823gzicwfrrG8Y+1QIq+kg==" saltValue="u2Id8oqsl9RN9d38m0BqbA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116</v>
      </c>
      <c r="C3" s="84"/>
      <c r="D3" s="84"/>
      <c r="E3" s="84"/>
      <c r="F3" s="84"/>
      <c r="G3" s="1"/>
    </row>
    <row r="4" spans="1:7" ht="25.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12" t="s">
        <v>91</v>
      </c>
      <c r="C8" s="113"/>
      <c r="D8" s="113"/>
      <c r="E8" s="113"/>
      <c r="F8" s="114"/>
      <c r="G8" s="1"/>
    </row>
    <row r="9" spans="1:7" ht="15" customHeight="1" x14ac:dyDescent="0.25">
      <c r="A9" s="1"/>
      <c r="B9" s="61" t="s">
        <v>19</v>
      </c>
      <c r="C9" s="61" t="s">
        <v>12</v>
      </c>
      <c r="D9" s="62"/>
      <c r="E9" s="61" t="s">
        <v>34</v>
      </c>
      <c r="F9" s="62"/>
      <c r="G9" s="1"/>
    </row>
    <row r="10" spans="1:7" x14ac:dyDescent="0.25">
      <c r="A10" s="1"/>
      <c r="B10" s="24" t="s">
        <v>272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4" t="s">
        <v>82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34" t="s">
        <v>83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12" t="s">
        <v>92</v>
      </c>
      <c r="C14" s="113"/>
      <c r="D14" s="113"/>
      <c r="E14" s="113"/>
      <c r="F14" s="114"/>
      <c r="G14" s="1"/>
    </row>
    <row r="15" spans="1:7" ht="26.25" x14ac:dyDescent="0.25">
      <c r="A15" s="1"/>
      <c r="B15" s="61" t="s">
        <v>19</v>
      </c>
      <c r="C15" s="61" t="s">
        <v>12</v>
      </c>
      <c r="D15" s="62"/>
      <c r="E15" s="61" t="s">
        <v>34</v>
      </c>
      <c r="F15" s="62"/>
      <c r="G15" s="1"/>
    </row>
    <row r="16" spans="1:7" x14ac:dyDescent="0.25">
      <c r="A16" s="1"/>
      <c r="B16" s="24" t="s">
        <v>272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34" t="s">
        <v>82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34" t="s">
        <v>84</v>
      </c>
      <c r="C18" s="12">
        <f>C17*(1+'Fane 14. Nøgletal'!C14)^2</f>
        <v>0</v>
      </c>
      <c r="D18" s="13" t="s">
        <v>3</v>
      </c>
      <c r="E18" s="12">
        <f>E17*(1+'Fane 14. Nøgletal'!C14)^2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12" t="s">
        <v>151</v>
      </c>
      <c r="C20" s="113"/>
      <c r="D20" s="113"/>
      <c r="E20" s="113"/>
      <c r="F20" s="114"/>
      <c r="G20" s="1"/>
    </row>
    <row r="21" spans="1:7" ht="26.25" x14ac:dyDescent="0.25">
      <c r="A21" s="1"/>
      <c r="B21" s="61" t="s">
        <v>19</v>
      </c>
      <c r="C21" s="61" t="s">
        <v>12</v>
      </c>
      <c r="D21" s="62"/>
      <c r="E21" s="61" t="s">
        <v>34</v>
      </c>
      <c r="F21" s="62"/>
      <c r="G21" s="1"/>
    </row>
    <row r="22" spans="1:7" x14ac:dyDescent="0.25">
      <c r="A22" s="1"/>
      <c r="B22" s="24" t="s">
        <v>272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34" t="s">
        <v>82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34" t="s">
        <v>152</v>
      </c>
      <c r="C24" s="12">
        <f>C23*(1+'Fane 14. Nøgletal'!C14)^3</f>
        <v>0</v>
      </c>
      <c r="D24" s="13" t="s">
        <v>3</v>
      </c>
      <c r="E24" s="12">
        <f>E23*(1+'Fane 14. Nøgletal'!C14)^3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12" t="s">
        <v>219</v>
      </c>
      <c r="C26" s="113"/>
      <c r="D26" s="113"/>
      <c r="E26" s="113"/>
      <c r="F26" s="114"/>
      <c r="G26" s="1"/>
    </row>
    <row r="27" spans="1:7" ht="26.25" x14ac:dyDescent="0.25">
      <c r="A27" s="1"/>
      <c r="B27" s="61" t="s">
        <v>19</v>
      </c>
      <c r="C27" s="61" t="s">
        <v>12</v>
      </c>
      <c r="D27" s="62"/>
      <c r="E27" s="61" t="s">
        <v>34</v>
      </c>
      <c r="F27" s="62"/>
      <c r="G27" s="1"/>
    </row>
    <row r="28" spans="1:7" x14ac:dyDescent="0.25">
      <c r="A28" s="1"/>
      <c r="B28" s="24" t="s">
        <v>272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34" t="s">
        <v>82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34" t="s">
        <v>220</v>
      </c>
      <c r="C30" s="12">
        <f>C29*(1+'Fane 14. Nøgletal'!C14)^4</f>
        <v>0</v>
      </c>
      <c r="D30" s="13" t="s">
        <v>3</v>
      </c>
      <c r="E30" s="12">
        <f>E29*(1+'Fane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JsO1/LDyLBHugjCYLV5MzCA/6Zw52yBzOM1K2bwPckX/GBQqhgOgDmqLLT2dLBfVo1VbmZ0Im01EYtdndjj2og==" saltValue="l0t9K3I0VDV/YNalVyaZ4A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50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4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84" t="s">
        <v>173</v>
      </c>
      <c r="C3" s="84"/>
      <c r="D3" s="1"/>
    </row>
    <row r="4" spans="1:4" ht="25.5" customHeight="1" x14ac:dyDescent="0.25">
      <c r="A4" s="1"/>
      <c r="B4" s="84"/>
      <c r="C4" s="84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34" t="s">
        <v>15</v>
      </c>
      <c r="C8" s="20"/>
      <c r="D8" s="1"/>
    </row>
    <row r="9" spans="1:4" x14ac:dyDescent="0.25">
      <c r="A9" s="1"/>
      <c r="B9" s="58" t="s">
        <v>264</v>
      </c>
      <c r="C9" s="25">
        <v>1.2699999999999999E-2</v>
      </c>
      <c r="D9" s="1"/>
    </row>
    <row r="10" spans="1:4" x14ac:dyDescent="0.25">
      <c r="A10" s="1"/>
      <c r="B10" s="58" t="s">
        <v>122</v>
      </c>
      <c r="C10" s="25">
        <v>1.7500000000000002E-2</v>
      </c>
      <c r="D10" s="1"/>
    </row>
    <row r="11" spans="1:4" x14ac:dyDescent="0.25">
      <c r="A11" s="1"/>
      <c r="B11" s="58" t="s">
        <v>24</v>
      </c>
      <c r="C11" s="25">
        <v>1.6899999999999998E-2</v>
      </c>
      <c r="D11" s="1"/>
    </row>
    <row r="12" spans="1:4" x14ac:dyDescent="0.25">
      <c r="A12" s="1"/>
      <c r="B12" s="29" t="s">
        <v>45</v>
      </c>
      <c r="C12" s="25">
        <v>1.9699999999999999E-2</v>
      </c>
      <c r="D12" s="1"/>
    </row>
    <row r="13" spans="1:4" x14ac:dyDescent="0.25">
      <c r="A13" s="1"/>
      <c r="B13" s="29" t="s">
        <v>153</v>
      </c>
      <c r="C13" s="30">
        <v>1.2200000000000001E-2</v>
      </c>
      <c r="D13" s="1"/>
    </row>
    <row r="14" spans="1:4" x14ac:dyDescent="0.25">
      <c r="A14" s="1"/>
      <c r="B14" s="29" t="s">
        <v>284</v>
      </c>
      <c r="C14" s="30">
        <v>3.3E-3</v>
      </c>
      <c r="D14" s="1"/>
    </row>
    <row r="15" spans="1:4" x14ac:dyDescent="0.25">
      <c r="A15" s="1"/>
      <c r="B15" s="34"/>
      <c r="C15" s="20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34" t="s">
        <v>107</v>
      </c>
      <c r="C18" s="20"/>
      <c r="D18" s="1"/>
    </row>
    <row r="19" spans="1:4" x14ac:dyDescent="0.25">
      <c r="A19" s="1"/>
      <c r="B19" s="58" t="s">
        <v>265</v>
      </c>
      <c r="C19" s="23">
        <v>9.1000000000000004E-3</v>
      </c>
      <c r="D19" s="1"/>
    </row>
    <row r="20" spans="1:4" x14ac:dyDescent="0.25">
      <c r="A20" s="1"/>
      <c r="B20" s="58" t="s">
        <v>124</v>
      </c>
      <c r="C20" s="23">
        <v>1.77E-2</v>
      </c>
      <c r="D20" s="1"/>
    </row>
    <row r="21" spans="1:4" x14ac:dyDescent="0.25">
      <c r="A21" s="1"/>
      <c r="B21" s="58" t="s">
        <v>123</v>
      </c>
      <c r="C21" s="23">
        <v>8.6999999999999994E-3</v>
      </c>
      <c r="D21" s="1"/>
    </row>
    <row r="22" spans="1:4" x14ac:dyDescent="0.25">
      <c r="A22" s="1"/>
      <c r="B22" s="58" t="s">
        <v>125</v>
      </c>
      <c r="C22" s="23">
        <v>2.8400000000000002E-2</v>
      </c>
      <c r="D22" s="1"/>
    </row>
    <row r="23" spans="1:4" x14ac:dyDescent="0.25">
      <c r="A23" s="1"/>
      <c r="B23" s="58" t="s">
        <v>154</v>
      </c>
      <c r="C23" s="31">
        <v>2.75E-2</v>
      </c>
      <c r="D23" s="1"/>
    </row>
    <row r="24" spans="1:4" x14ac:dyDescent="0.25">
      <c r="A24" s="1"/>
      <c r="B24" s="58" t="s">
        <v>221</v>
      </c>
      <c r="C24" s="31">
        <v>1.4800000000000001E-2</v>
      </c>
      <c r="D24" s="1"/>
    </row>
    <row r="25" spans="1:4" x14ac:dyDescent="0.25">
      <c r="A25" s="1"/>
      <c r="B25" s="34"/>
      <c r="C25" s="20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34" t="s">
        <v>106</v>
      </c>
      <c r="C28" s="20"/>
      <c r="D28" s="1"/>
    </row>
    <row r="29" spans="1:4" x14ac:dyDescent="0.25">
      <c r="A29" s="1"/>
      <c r="B29" s="58" t="s">
        <v>126</v>
      </c>
      <c r="C29" s="25">
        <v>0.02</v>
      </c>
      <c r="D29" s="1"/>
    </row>
    <row r="30" spans="1:4" x14ac:dyDescent="0.25">
      <c r="A30" s="1"/>
      <c r="B30" s="34"/>
      <c r="C30" s="20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</sheetData>
  <sheetProtection algorithmName="SHA-512" hashValue="atuV8M4xEn9IcBDk4YEvYPx6XI/1QQdnfEhFuMcd9sQaUDR6ADwFAqt7+a3Sgj83BxzsOG+t9IGk96eJdANK3A==" saltValue="J4FPyB6RwaP7PxTL43CtDg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7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7.7109375" style="2" customWidth="1"/>
    <col min="3" max="3" width="12.28515625" style="2" bestFit="1" customWidth="1"/>
    <col min="4" max="4" width="3.85546875" style="2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2" t="s">
        <v>181</v>
      </c>
      <c r="C3" s="82"/>
      <c r="D3" s="82"/>
      <c r="E3" s="1"/>
    </row>
    <row r="4" spans="1:5" ht="15" customHeight="1" x14ac:dyDescent="0.25">
      <c r="A4" s="1"/>
      <c r="B4" s="82"/>
      <c r="C4" s="82"/>
      <c r="D4" s="82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4" t="s">
        <v>14</v>
      </c>
      <c r="C8" s="35"/>
      <c r="D8" s="20"/>
      <c r="E8" s="1"/>
    </row>
    <row r="9" spans="1:5" x14ac:dyDescent="0.25">
      <c r="A9" s="1"/>
      <c r="B9" s="51" t="s">
        <v>26</v>
      </c>
      <c r="C9" s="7">
        <f>'Fane 3. Omkostninger i ØR2021'!E24</f>
        <v>160349548.90089402</v>
      </c>
      <c r="D9" s="8" t="s">
        <v>3</v>
      </c>
      <c r="E9" s="1"/>
    </row>
    <row r="10" spans="1:5" ht="17.100000000000001" customHeight="1" x14ac:dyDescent="0.25">
      <c r="A10" s="1"/>
      <c r="B10" s="49" t="s">
        <v>43</v>
      </c>
      <c r="C10" s="7">
        <f>'Fane 10.1. Varige tillæg'!C14</f>
        <v>1173191.7989000001</v>
      </c>
      <c r="D10" s="8" t="s">
        <v>3</v>
      </c>
      <c r="E10" s="1"/>
    </row>
    <row r="11" spans="1:5" ht="17.100000000000001" customHeight="1" x14ac:dyDescent="0.25">
      <c r="A11" s="1"/>
      <c r="B11" s="49" t="s">
        <v>44</v>
      </c>
      <c r="C11" s="9">
        <f>'Fane 10.1. Varige tillæg'!E14</f>
        <v>1252686.2678</v>
      </c>
      <c r="D11" s="8" t="s">
        <v>3</v>
      </c>
      <c r="E11" s="1"/>
    </row>
    <row r="12" spans="1:5" ht="17.100000000000001" customHeight="1" x14ac:dyDescent="0.25">
      <c r="A12" s="1"/>
      <c r="B12" s="49" t="s">
        <v>30</v>
      </c>
      <c r="C12" s="9">
        <f>-'Fane 13.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49" t="s">
        <v>29</v>
      </c>
      <c r="C13" s="9">
        <f>-'Fane 13.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49" t="s">
        <v>137</v>
      </c>
      <c r="C14" s="9">
        <f>'Fane 12. Tilknyttet virksomhed'!C12</f>
        <v>0</v>
      </c>
      <c r="D14" s="8" t="s">
        <v>3</v>
      </c>
      <c r="E14" s="1"/>
    </row>
    <row r="15" spans="1:5" ht="17.100000000000001" customHeight="1" x14ac:dyDescent="0.25">
      <c r="A15" s="1"/>
      <c r="B15" s="49" t="s">
        <v>138</v>
      </c>
      <c r="C15" s="9">
        <f>'Fane 12. Tilknyttet virksomhed'!E12</f>
        <v>0</v>
      </c>
      <c r="D15" s="8" t="s">
        <v>3</v>
      </c>
      <c r="E15" s="1"/>
    </row>
    <row r="16" spans="1:5" ht="17.100000000000001" customHeight="1" x14ac:dyDescent="0.25">
      <c r="A16" s="1"/>
      <c r="B16" s="49" t="s">
        <v>20</v>
      </c>
      <c r="C16" s="9">
        <f>SUM(C9:C15)*'Fane 14. Nøgletal'!C14</f>
        <v>537158.90899306023</v>
      </c>
      <c r="D16" s="8" t="s">
        <v>3</v>
      </c>
      <c r="E16" s="1"/>
    </row>
    <row r="17" spans="1:5" ht="17.100000000000001" customHeight="1" x14ac:dyDescent="0.25">
      <c r="A17" s="1"/>
      <c r="B17" s="49" t="s">
        <v>10</v>
      </c>
      <c r="C17" s="9">
        <f>-SUM(C9,C10:C16)*'Fane 5. Individuelt eff. krav'!G11</f>
        <v>-2815770.9344107937</v>
      </c>
      <c r="D17" s="8" t="s">
        <v>3</v>
      </c>
      <c r="E17" s="1"/>
    </row>
    <row r="18" spans="1:5" ht="17.100000000000001" customHeight="1" x14ac:dyDescent="0.25">
      <c r="A18" s="1"/>
      <c r="B18" s="49" t="s">
        <v>27</v>
      </c>
      <c r="C18" s="9">
        <f>-'Fane 4.1. Gen. krav - drift'!G42</f>
        <v>-1181158.1280189811</v>
      </c>
      <c r="D18" s="8" t="s">
        <v>3</v>
      </c>
      <c r="E18" s="1"/>
    </row>
    <row r="19" spans="1:5" ht="15" customHeight="1" x14ac:dyDescent="0.25">
      <c r="A19" s="1"/>
      <c r="B19" s="49" t="s">
        <v>28</v>
      </c>
      <c r="C19" s="9">
        <f>-'Fane 4.2. Gen. krav - anlæg'!G40</f>
        <v>-1551898.7077749544</v>
      </c>
      <c r="D19" s="8" t="s">
        <v>3</v>
      </c>
      <c r="E19" s="1"/>
    </row>
    <row r="20" spans="1:5" ht="15" customHeight="1" x14ac:dyDescent="0.25">
      <c r="A20" s="1"/>
      <c r="B20" s="46" t="s">
        <v>22</v>
      </c>
      <c r="C20" s="10">
        <f>SUM(C9,C10:C19)</f>
        <v>157763758.10638237</v>
      </c>
      <c r="D20" s="11" t="s">
        <v>3</v>
      </c>
      <c r="E20" s="1"/>
    </row>
    <row r="21" spans="1:5" ht="15" customHeight="1" x14ac:dyDescent="0.25">
      <c r="A21" s="1"/>
      <c r="B21" s="34" t="s">
        <v>13</v>
      </c>
      <c r="C21" s="35"/>
      <c r="D21" s="20"/>
      <c r="E21" s="1"/>
    </row>
    <row r="22" spans="1:5" ht="15" customHeight="1" x14ac:dyDescent="0.25">
      <c r="A22" s="1"/>
      <c r="B22" s="61" t="s">
        <v>13</v>
      </c>
      <c r="C22" s="10">
        <f>'Fane 6. Ikke-påvirkelige omk.'!C16+'Fane 6. Ikke-påvirkelige omk.'!C20+'Fane 6. Ikke-påvirkelige omk.'!C28</f>
        <v>3108920.7535976702</v>
      </c>
      <c r="D22" s="11" t="s">
        <v>3</v>
      </c>
      <c r="E22" s="1"/>
    </row>
    <row r="23" spans="1:5" ht="15" customHeight="1" x14ac:dyDescent="0.25">
      <c r="A23" s="1"/>
      <c r="B23" s="34" t="s">
        <v>78</v>
      </c>
      <c r="C23" s="35"/>
      <c r="D23" s="20"/>
      <c r="E23" s="1"/>
    </row>
    <row r="24" spans="1:5" ht="15" customHeight="1" x14ac:dyDescent="0.25">
      <c r="A24" s="1"/>
      <c r="B24" s="46" t="s">
        <v>78</v>
      </c>
      <c r="C24" s="10">
        <f>'Fane 11. Periodevise driftsomk.'!E12</f>
        <v>0</v>
      </c>
      <c r="D24" s="11" t="s">
        <v>3</v>
      </c>
      <c r="E24" s="1"/>
    </row>
    <row r="25" spans="1:5" ht="15" customHeight="1" x14ac:dyDescent="0.25">
      <c r="A25" s="1"/>
      <c r="B25" s="34" t="s">
        <v>77</v>
      </c>
      <c r="C25" s="35"/>
      <c r="D25" s="20"/>
      <c r="E25" s="1"/>
    </row>
    <row r="26" spans="1:5" x14ac:dyDescent="0.25">
      <c r="A26" s="1"/>
      <c r="B26" s="49" t="s">
        <v>73</v>
      </c>
      <c r="C26" s="9">
        <f>'Fane 10.2. Engangstillæg'!C14</f>
        <v>0</v>
      </c>
      <c r="D26" s="8" t="s">
        <v>3</v>
      </c>
      <c r="E26" s="1"/>
    </row>
    <row r="27" spans="1:5" ht="15" customHeight="1" x14ac:dyDescent="0.25">
      <c r="A27" s="1"/>
      <c r="B27" s="49" t="s">
        <v>74</v>
      </c>
      <c r="C27" s="9">
        <f>'Fane 10.2. Engangstillæg'!E14</f>
        <v>0</v>
      </c>
      <c r="D27" s="8" t="s">
        <v>3</v>
      </c>
      <c r="E27" s="1"/>
    </row>
    <row r="28" spans="1:5" x14ac:dyDescent="0.25">
      <c r="A28" s="1"/>
      <c r="B28" s="46" t="s">
        <v>79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34" t="s">
        <v>180</v>
      </c>
      <c r="C29" s="35"/>
      <c r="D29" s="20"/>
      <c r="E29" s="1"/>
    </row>
    <row r="30" spans="1:5" x14ac:dyDescent="0.25">
      <c r="A30" s="1"/>
      <c r="B30" s="61" t="s">
        <v>180</v>
      </c>
      <c r="C30" s="10">
        <f>'Fane 8. Korrektion af ØR2020'!E17</f>
        <v>0</v>
      </c>
      <c r="D30" s="11" t="s">
        <v>3</v>
      </c>
      <c r="E30" s="1"/>
    </row>
    <row r="31" spans="1:5" x14ac:dyDescent="0.25">
      <c r="A31" s="1"/>
      <c r="B31" s="34" t="s">
        <v>170</v>
      </c>
      <c r="C31" s="35"/>
      <c r="D31" s="20"/>
      <c r="E31" s="1"/>
    </row>
    <row r="32" spans="1:5" x14ac:dyDescent="0.25">
      <c r="A32" s="1"/>
      <c r="B32" s="61" t="s">
        <v>288</v>
      </c>
      <c r="C32" s="10">
        <f>'Fane 7. Kontrol af ØR2020'!E32</f>
        <v>-11674712.690038413</v>
      </c>
      <c r="D32" s="11" t="s">
        <v>3</v>
      </c>
      <c r="E32" s="1"/>
    </row>
    <row r="33" spans="1:5" x14ac:dyDescent="0.25">
      <c r="A33" s="1"/>
      <c r="B33" s="36" t="s">
        <v>262</v>
      </c>
      <c r="C33" s="35"/>
      <c r="D33" s="20"/>
      <c r="E33" s="1"/>
    </row>
    <row r="34" spans="1:5" x14ac:dyDescent="0.25">
      <c r="A34" s="1"/>
      <c r="B34" s="59" t="s">
        <v>263</v>
      </c>
      <c r="C34" s="10">
        <v>0</v>
      </c>
      <c r="D34" s="11" t="s">
        <v>3</v>
      </c>
      <c r="E34" s="1"/>
    </row>
    <row r="35" spans="1:5" x14ac:dyDescent="0.25">
      <c r="A35" s="1"/>
      <c r="B35" s="34" t="s">
        <v>32</v>
      </c>
      <c r="C35" s="12">
        <f>SUM(C20,C22,C24,C28,C30,C32,C34)</f>
        <v>149197966.16994163</v>
      </c>
      <c r="D35" s="13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</sheetData>
  <sheetProtection algorithmName="SHA-512" hashValue="DxZJtR+hojJQgCpE53eQaOagLwR1sBdQkoerGau9M9sDpOGb1HS2egIaRSzkZr2b10n37cnKb06Z9GlL5HBUVg==" saltValue="zprUd6KQSi4+/yXKqGNaQg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71093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2" t="s">
        <v>182</v>
      </c>
      <c r="C3" s="82"/>
      <c r="D3" s="82"/>
      <c r="E3" s="1"/>
    </row>
    <row r="4" spans="1:5" ht="15" customHeight="1" x14ac:dyDescent="0.25">
      <c r="A4" s="1"/>
      <c r="B4" s="82"/>
      <c r="C4" s="82"/>
      <c r="D4" s="82"/>
      <c r="E4" s="1"/>
    </row>
    <row r="5" spans="1:5" x14ac:dyDescent="0.25">
      <c r="A5" s="1"/>
      <c r="B5" s="83"/>
      <c r="C5" s="83"/>
      <c r="D5" s="83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4" t="s">
        <v>14</v>
      </c>
      <c r="C8" s="35"/>
      <c r="D8" s="20"/>
      <c r="E8" s="1"/>
    </row>
    <row r="9" spans="1:5" ht="15" customHeight="1" x14ac:dyDescent="0.25">
      <c r="A9" s="1"/>
      <c r="B9" s="51" t="s">
        <v>109</v>
      </c>
      <c r="C9" s="7">
        <f>'Fane 2.1. Økonomisk ramme 2022'!C20</f>
        <v>157763758.10638237</v>
      </c>
      <c r="D9" s="8" t="s">
        <v>3</v>
      </c>
      <c r="E9" s="1"/>
    </row>
    <row r="10" spans="1:5" ht="15" customHeight="1" x14ac:dyDescent="0.25">
      <c r="A10" s="1"/>
      <c r="B10" s="49" t="s">
        <v>30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49" t="s">
        <v>29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42" t="s">
        <v>20</v>
      </c>
      <c r="C12" s="9">
        <f>SUM(C9:C11)*'Fane 14. Nøgletal'!C14</f>
        <v>520620.40175106184</v>
      </c>
      <c r="D12" s="8" t="s">
        <v>3</v>
      </c>
      <c r="E12" s="1"/>
    </row>
    <row r="13" spans="1:5" ht="15" customHeight="1" x14ac:dyDescent="0.25">
      <c r="A13" s="1"/>
      <c r="B13" s="42" t="s">
        <v>10</v>
      </c>
      <c r="C13" s="9">
        <f>-SUM(C9:C12)*'Fane 5. Individuelt eff. krav'!G11</f>
        <v>-2729076.5741183106</v>
      </c>
      <c r="D13" s="8" t="s">
        <v>3</v>
      </c>
      <c r="E13" s="1"/>
    </row>
    <row r="14" spans="1:5" ht="15" customHeight="1" x14ac:dyDescent="0.25">
      <c r="A14" s="1"/>
      <c r="B14" s="42" t="s">
        <v>27</v>
      </c>
      <c r="C14" s="9">
        <f>-'Fane 4.1. Gen. krav - drift'!G49</f>
        <v>-1161354.8308446149</v>
      </c>
      <c r="D14" s="8" t="s">
        <v>3</v>
      </c>
      <c r="E14" s="1"/>
    </row>
    <row r="15" spans="1:5" ht="15" customHeight="1" x14ac:dyDescent="0.25">
      <c r="A15" s="1"/>
      <c r="B15" s="42" t="s">
        <v>28</v>
      </c>
      <c r="C15" s="9">
        <f>-'Fane 4.2. Gen. krav - anlæg'!G47</f>
        <v>-1533976.0779026547</v>
      </c>
      <c r="D15" s="8" t="s">
        <v>3</v>
      </c>
      <c r="E15" s="1"/>
    </row>
    <row r="16" spans="1:5" ht="15" customHeight="1" x14ac:dyDescent="0.25">
      <c r="A16" s="1"/>
      <c r="B16" s="43" t="s">
        <v>22</v>
      </c>
      <c r="C16" s="10">
        <f>SUM(C9:C15)</f>
        <v>152859971.02526787</v>
      </c>
      <c r="D16" s="11" t="s">
        <v>3</v>
      </c>
      <c r="E16" s="1"/>
    </row>
    <row r="17" spans="1:5" ht="15" customHeight="1" x14ac:dyDescent="0.25">
      <c r="A17" s="1"/>
      <c r="B17" s="34" t="s">
        <v>13</v>
      </c>
      <c r="C17" s="35"/>
      <c r="D17" s="20"/>
      <c r="E17" s="1"/>
    </row>
    <row r="18" spans="1:5" ht="15" customHeight="1" x14ac:dyDescent="0.25">
      <c r="A18" s="1"/>
      <c r="B18" s="61" t="s">
        <v>13</v>
      </c>
      <c r="C18" s="10">
        <f>'Fane 6. Ikke-påvirkelige omk.'!C16*(1+'Fane 14. Nøgletal'!C14)+'Fane 6. Ikke-påvirkelige omk.'!C21+'Fane 6. Ikke-påvirkelige omk.'!C29</f>
        <v>3119180.1920845429</v>
      </c>
      <c r="D18" s="11" t="s">
        <v>3</v>
      </c>
      <c r="E18" s="1"/>
    </row>
    <row r="19" spans="1:5" ht="15" customHeight="1" x14ac:dyDescent="0.25">
      <c r="A19" s="1"/>
      <c r="B19" s="34" t="s">
        <v>78</v>
      </c>
      <c r="C19" s="35"/>
      <c r="D19" s="20"/>
      <c r="E19" s="1"/>
    </row>
    <row r="20" spans="1:5" ht="15" customHeight="1" x14ac:dyDescent="0.25">
      <c r="A20" s="1"/>
      <c r="B20" s="46" t="s">
        <v>78</v>
      </c>
      <c r="C20" s="10">
        <f>'Fane 11. Periodevise driftsomk.'!E18</f>
        <v>0</v>
      </c>
      <c r="D20" s="11" t="s">
        <v>3</v>
      </c>
      <c r="E20" s="1"/>
    </row>
    <row r="21" spans="1:5" x14ac:dyDescent="0.25">
      <c r="A21" s="1"/>
      <c r="B21" s="34" t="s">
        <v>77</v>
      </c>
      <c r="C21" s="35"/>
      <c r="D21" s="20"/>
      <c r="E21" s="1"/>
    </row>
    <row r="22" spans="1:5" ht="15" customHeight="1" x14ac:dyDescent="0.25">
      <c r="A22" s="1"/>
      <c r="B22" s="49" t="s">
        <v>73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49" t="s">
        <v>74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46" t="s">
        <v>79</v>
      </c>
      <c r="C24" s="10">
        <f>SUM(C22:C23)</f>
        <v>0</v>
      </c>
      <c r="D24" s="11" t="s">
        <v>3</v>
      </c>
      <c r="E24" s="1"/>
    </row>
    <row r="25" spans="1:5" ht="15" customHeight="1" x14ac:dyDescent="0.25">
      <c r="A25" s="1"/>
      <c r="B25" s="34" t="s">
        <v>171</v>
      </c>
      <c r="C25" s="35"/>
      <c r="D25" s="20"/>
      <c r="E25" s="1"/>
    </row>
    <row r="26" spans="1:5" ht="15" customHeight="1" x14ac:dyDescent="0.25">
      <c r="A26" s="1"/>
      <c r="B26" s="61" t="s">
        <v>288</v>
      </c>
      <c r="C26" s="10">
        <f>'Fane 7. Kontrol af ØR2020'!E32</f>
        <v>-11674712.690038413</v>
      </c>
      <c r="D26" s="11" t="s">
        <v>3</v>
      </c>
      <c r="E26" s="1"/>
    </row>
    <row r="27" spans="1:5" x14ac:dyDescent="0.25">
      <c r="A27" s="1"/>
      <c r="B27" s="36" t="s">
        <v>262</v>
      </c>
      <c r="C27" s="35"/>
      <c r="D27" s="20"/>
      <c r="E27" s="1"/>
    </row>
    <row r="28" spans="1:5" x14ac:dyDescent="0.25">
      <c r="A28" s="1"/>
      <c r="B28" s="59" t="s">
        <v>263</v>
      </c>
      <c r="C28" s="10">
        <v>0</v>
      </c>
      <c r="D28" s="11" t="s">
        <v>3</v>
      </c>
      <c r="E28" s="1"/>
    </row>
    <row r="29" spans="1:5" ht="15" customHeight="1" x14ac:dyDescent="0.25">
      <c r="A29" s="1"/>
      <c r="B29" s="34" t="s">
        <v>86</v>
      </c>
      <c r="C29" s="12">
        <f>SUM(C16,C18,C20,C24,C26,C28)</f>
        <v>144304438.52731401</v>
      </c>
      <c r="D29" s="13" t="s">
        <v>3</v>
      </c>
      <c r="E29" s="1"/>
    </row>
    <row r="30" spans="1:5" ht="15" customHeight="1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PUm1XEDa6+IdUdRg8IWO3rfCfi7GsFTRy3jNZlu7/UasZgxlHircBtmWMnx9S5CPbeUbPKqZfkDKLGHIV1wv/g==" saltValue="X6DFhFAgc+StilbnpK4sK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" style="2" customWidth="1"/>
    <col min="3" max="3" width="11.5703125" style="2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2" t="s">
        <v>183</v>
      </c>
      <c r="C3" s="82"/>
      <c r="D3" s="82"/>
      <c r="E3" s="1"/>
    </row>
    <row r="4" spans="1:5" ht="15" customHeight="1" x14ac:dyDescent="0.25">
      <c r="A4" s="1"/>
      <c r="B4" s="82"/>
      <c r="C4" s="82"/>
      <c r="D4" s="82"/>
      <c r="E4" s="1"/>
    </row>
    <row r="5" spans="1:5" x14ac:dyDescent="0.25">
      <c r="A5" s="1"/>
      <c r="B5" s="83" t="s">
        <v>23</v>
      </c>
      <c r="C5" s="83"/>
      <c r="D5" s="83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34" t="s">
        <v>14</v>
      </c>
      <c r="C7" s="35"/>
      <c r="D7" s="20"/>
      <c r="E7" s="1"/>
    </row>
    <row r="8" spans="1:5" ht="15" customHeight="1" x14ac:dyDescent="0.25">
      <c r="A8" s="1"/>
      <c r="B8" s="51" t="s">
        <v>139</v>
      </c>
      <c r="C8" s="7">
        <f>'Fane 2.2. Økonomisk ramme 2023'!C16</f>
        <v>152859971.02526787</v>
      </c>
      <c r="D8" s="8" t="s">
        <v>3</v>
      </c>
      <c r="E8" s="1"/>
    </row>
    <row r="9" spans="1:5" ht="15" customHeight="1" x14ac:dyDescent="0.25">
      <c r="A9" s="1"/>
      <c r="B9" s="51" t="s">
        <v>30</v>
      </c>
      <c r="C9" s="7">
        <f>-'Fane 13. Bortfald'!C24</f>
        <v>0</v>
      </c>
      <c r="D9" s="8" t="s">
        <v>3</v>
      </c>
      <c r="E9" s="1"/>
    </row>
    <row r="10" spans="1:5" ht="15" customHeight="1" x14ac:dyDescent="0.25">
      <c r="A10" s="1"/>
      <c r="B10" s="51" t="s">
        <v>29</v>
      </c>
      <c r="C10" s="7">
        <f>-'Fane 13. Bortfald'!E24</f>
        <v>0</v>
      </c>
      <c r="D10" s="8" t="s">
        <v>3</v>
      </c>
      <c r="E10" s="1"/>
    </row>
    <row r="11" spans="1:5" ht="15" customHeight="1" x14ac:dyDescent="0.25">
      <c r="A11" s="1"/>
      <c r="B11" s="42" t="s">
        <v>20</v>
      </c>
      <c r="C11" s="9">
        <f>SUM(C8:C10)*'Fane 14. Nøgletal'!C14</f>
        <v>504437.90438338398</v>
      </c>
      <c r="D11" s="8" t="s">
        <v>3</v>
      </c>
      <c r="E11" s="1"/>
    </row>
    <row r="12" spans="1:5" ht="15" customHeight="1" x14ac:dyDescent="0.25">
      <c r="A12" s="1"/>
      <c r="B12" s="42" t="s">
        <v>10</v>
      </c>
      <c r="C12" s="9">
        <f>-SUM(C8:C11)*'Fane 5. Individuelt eff. krav'!G11</f>
        <v>-2644248.4069386888</v>
      </c>
      <c r="D12" s="8" t="s">
        <v>3</v>
      </c>
      <c r="E12" s="1"/>
    </row>
    <row r="13" spans="1:5" ht="15" customHeight="1" x14ac:dyDescent="0.25">
      <c r="A13" s="1"/>
      <c r="B13" s="42" t="s">
        <v>27</v>
      </c>
      <c r="C13" s="9">
        <f>-'Fane 4.1. Gen. krav - drift'!G56</f>
        <v>-1141883.5557506741</v>
      </c>
      <c r="D13" s="8" t="s">
        <v>3</v>
      </c>
      <c r="E13" s="1"/>
    </row>
    <row r="14" spans="1:5" ht="15" customHeight="1" x14ac:dyDescent="0.25">
      <c r="A14" s="1"/>
      <c r="B14" s="42" t="s">
        <v>28</v>
      </c>
      <c r="C14" s="9">
        <f>-'Fane 4.2. Gen. krav - anlæg'!G54</f>
        <v>-1516260.4336151297</v>
      </c>
      <c r="D14" s="8" t="s">
        <v>3</v>
      </c>
      <c r="E14" s="1"/>
    </row>
    <row r="15" spans="1:5" x14ac:dyDescent="0.25">
      <c r="A15" s="1"/>
      <c r="B15" s="43" t="s">
        <v>22</v>
      </c>
      <c r="C15" s="10">
        <f>SUM(C8:C14)</f>
        <v>148062016.53334677</v>
      </c>
      <c r="D15" s="11" t="s">
        <v>3</v>
      </c>
      <c r="E15" s="1"/>
    </row>
    <row r="16" spans="1:5" x14ac:dyDescent="0.25">
      <c r="A16" s="1"/>
      <c r="B16" s="34" t="s">
        <v>13</v>
      </c>
      <c r="C16" s="35"/>
      <c r="D16" s="20"/>
      <c r="E16" s="1"/>
    </row>
    <row r="17" spans="1:5" ht="15" customHeight="1" x14ac:dyDescent="0.25">
      <c r="A17" s="1"/>
      <c r="B17" s="61" t="s">
        <v>13</v>
      </c>
      <c r="C17" s="10">
        <f>'Fane 6. Ikke-påvirkelige omk.'!C16*(1+'Fane 14. Nøgletal'!C14)^2+'Fane 6. Ikke-påvirkelige omk.'!C22+'Fane 6. Ikke-påvirkelige omk.'!C30</f>
        <v>3129473.4867184218</v>
      </c>
      <c r="D17" s="11" t="s">
        <v>3</v>
      </c>
      <c r="E17" s="1"/>
    </row>
    <row r="18" spans="1:5" ht="15" customHeight="1" x14ac:dyDescent="0.25">
      <c r="A18" s="1"/>
      <c r="B18" s="34" t="s">
        <v>78</v>
      </c>
      <c r="C18" s="35"/>
      <c r="D18" s="20"/>
      <c r="E18" s="1"/>
    </row>
    <row r="19" spans="1:5" ht="15" customHeight="1" x14ac:dyDescent="0.25">
      <c r="A19" s="1"/>
      <c r="B19" s="46" t="s">
        <v>78</v>
      </c>
      <c r="C19" s="10">
        <f>'Fane 11. Periodevise driftsomk.'!E24</f>
        <v>0</v>
      </c>
      <c r="D19" s="11" t="s">
        <v>3</v>
      </c>
      <c r="E19" s="1"/>
    </row>
    <row r="20" spans="1:5" ht="15" customHeight="1" x14ac:dyDescent="0.25">
      <c r="A20" s="1"/>
      <c r="B20" s="34" t="s">
        <v>77</v>
      </c>
      <c r="C20" s="35"/>
      <c r="D20" s="20"/>
      <c r="E20" s="1"/>
    </row>
    <row r="21" spans="1:5" ht="15" customHeight="1" x14ac:dyDescent="0.25">
      <c r="A21" s="1"/>
      <c r="B21" s="49" t="s">
        <v>73</v>
      </c>
      <c r="C21" s="9">
        <f>'Fane 10.2. Engangstillæg'!C30</f>
        <v>0</v>
      </c>
      <c r="D21" s="8" t="s">
        <v>3</v>
      </c>
      <c r="E21" s="1"/>
    </row>
    <row r="22" spans="1:5" ht="15" customHeight="1" x14ac:dyDescent="0.25">
      <c r="A22" s="1"/>
      <c r="B22" s="49" t="s">
        <v>74</v>
      </c>
      <c r="C22" s="9">
        <f>'Fane 10.2. Engangstillæg'!E30</f>
        <v>0</v>
      </c>
      <c r="D22" s="8" t="s">
        <v>3</v>
      </c>
      <c r="E22" s="1"/>
    </row>
    <row r="23" spans="1:5" ht="15" customHeight="1" x14ac:dyDescent="0.25">
      <c r="A23" s="1"/>
      <c r="B23" s="46" t="s">
        <v>79</v>
      </c>
      <c r="C23" s="10">
        <f>SUM(C21:C22)</f>
        <v>0</v>
      </c>
      <c r="D23" s="11" t="s">
        <v>3</v>
      </c>
      <c r="E23" s="1"/>
    </row>
    <row r="24" spans="1:5" x14ac:dyDescent="0.25">
      <c r="A24" s="1"/>
      <c r="B24" s="36" t="s">
        <v>262</v>
      </c>
      <c r="C24" s="35"/>
      <c r="D24" s="20"/>
      <c r="E24" s="1"/>
    </row>
    <row r="25" spans="1:5" x14ac:dyDescent="0.25">
      <c r="A25" s="1"/>
      <c r="B25" s="59" t="s">
        <v>263</v>
      </c>
      <c r="C25" s="10">
        <v>0</v>
      </c>
      <c r="D25" s="11" t="s">
        <v>3</v>
      </c>
      <c r="E25" s="1"/>
    </row>
    <row r="26" spans="1:5" x14ac:dyDescent="0.25">
      <c r="A26" s="1"/>
      <c r="B26" s="34" t="s">
        <v>140</v>
      </c>
      <c r="C26" s="12">
        <f>SUM(C15,C17,C19,C23,C25)</f>
        <v>151191490.02006519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OwcJKjETKQuBJm4TZY2V1nLnenbS7oGMABIuImrjb1WD8Uzx7rEvxcqXPjGyvnq6dNzLCK6TiJFreiWP8W9RxQ==" saltValue="cvY+4s/5MP6ySw5ZXst1o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855468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2" t="s">
        <v>184</v>
      </c>
      <c r="C3" s="82"/>
      <c r="D3" s="82"/>
      <c r="E3" s="1"/>
    </row>
    <row r="4" spans="1:5" ht="15" customHeight="1" x14ac:dyDescent="0.25">
      <c r="A4" s="1"/>
      <c r="B4" s="82"/>
      <c r="C4" s="82"/>
      <c r="D4" s="82"/>
      <c r="E4" s="1"/>
    </row>
    <row r="5" spans="1:5" x14ac:dyDescent="0.25">
      <c r="A5" s="1"/>
      <c r="B5" s="83" t="s">
        <v>23</v>
      </c>
      <c r="C5" s="83"/>
      <c r="D5" s="83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34" t="s">
        <v>14</v>
      </c>
      <c r="C7" s="35"/>
      <c r="D7" s="20"/>
      <c r="E7" s="1"/>
    </row>
    <row r="8" spans="1:5" ht="15" customHeight="1" x14ac:dyDescent="0.25">
      <c r="A8" s="1"/>
      <c r="B8" s="51" t="s">
        <v>185</v>
      </c>
      <c r="C8" s="7">
        <f>'Fane 2.3. Økonomisk ramme 2024'!C15</f>
        <v>148062016.53334677</v>
      </c>
      <c r="D8" s="8" t="s">
        <v>3</v>
      </c>
      <c r="E8" s="1"/>
    </row>
    <row r="9" spans="1:5" ht="15" customHeight="1" x14ac:dyDescent="0.25">
      <c r="A9" s="1"/>
      <c r="B9" s="51" t="s">
        <v>30</v>
      </c>
      <c r="C9" s="7">
        <f>-'Fane 13. Bortfald'!C30</f>
        <v>0</v>
      </c>
      <c r="D9" s="8" t="s">
        <v>3</v>
      </c>
      <c r="E9" s="1"/>
    </row>
    <row r="10" spans="1:5" ht="15" customHeight="1" x14ac:dyDescent="0.25">
      <c r="A10" s="1"/>
      <c r="B10" s="51" t="s">
        <v>29</v>
      </c>
      <c r="C10" s="7">
        <f>-'Fane 13. Bortfald'!E30</f>
        <v>0</v>
      </c>
      <c r="D10" s="8" t="s">
        <v>3</v>
      </c>
      <c r="E10" s="1"/>
    </row>
    <row r="11" spans="1:5" ht="15" customHeight="1" x14ac:dyDescent="0.25">
      <c r="A11" s="1"/>
      <c r="B11" s="42" t="s">
        <v>20</v>
      </c>
      <c r="C11" s="9">
        <f>SUM(C8:C10)*'Fane 14. Nøgletal'!C14</f>
        <v>488604.65456004435</v>
      </c>
      <c r="D11" s="8" t="s">
        <v>3</v>
      </c>
      <c r="E11" s="1"/>
    </row>
    <row r="12" spans="1:5" ht="15" customHeight="1" x14ac:dyDescent="0.25">
      <c r="A12" s="1"/>
      <c r="B12" s="42" t="s">
        <v>10</v>
      </c>
      <c r="C12" s="9">
        <f>-SUM(C8:C11)*'Fane 5. Individuelt eff. krav'!G11</f>
        <v>-2561250.9849404236</v>
      </c>
      <c r="D12" s="8" t="s">
        <v>3</v>
      </c>
      <c r="E12" s="1"/>
    </row>
    <row r="13" spans="1:5" ht="15" customHeight="1" x14ac:dyDescent="0.25">
      <c r="A13" s="1"/>
      <c r="B13" s="42" t="s">
        <v>27</v>
      </c>
      <c r="C13" s="9">
        <f>-'Fane 4.1. Gen. krav - drift'!G62</f>
        <v>-1122738.7360549585</v>
      </c>
      <c r="D13" s="8" t="s">
        <v>3</v>
      </c>
      <c r="E13" s="1"/>
    </row>
    <row r="14" spans="1:5" ht="15" customHeight="1" x14ac:dyDescent="0.25">
      <c r="A14" s="1"/>
      <c r="B14" s="42" t="s">
        <v>28</v>
      </c>
      <c r="C14" s="9">
        <f>-'Fane 4.2. Gen. krav - anlæg'!G60</f>
        <v>-1498749.384468978</v>
      </c>
      <c r="D14" s="8" t="s">
        <v>3</v>
      </c>
      <c r="E14" s="1"/>
    </row>
    <row r="15" spans="1:5" x14ac:dyDescent="0.25">
      <c r="A15" s="1"/>
      <c r="B15" s="43" t="s">
        <v>22</v>
      </c>
      <c r="C15" s="10">
        <f>SUM(C8:C14)</f>
        <v>143367882.08244246</v>
      </c>
      <c r="D15" s="11" t="s">
        <v>3</v>
      </c>
      <c r="E15" s="1"/>
    </row>
    <row r="16" spans="1:5" x14ac:dyDescent="0.25">
      <c r="A16" s="1"/>
      <c r="B16" s="34" t="s">
        <v>13</v>
      </c>
      <c r="C16" s="35"/>
      <c r="D16" s="20"/>
      <c r="E16" s="1"/>
    </row>
    <row r="17" spans="1:5" ht="15" customHeight="1" x14ac:dyDescent="0.25">
      <c r="A17" s="1"/>
      <c r="B17" s="61" t="s">
        <v>13</v>
      </c>
      <c r="C17" s="10">
        <f>'Fane 6. Ikke-påvirkelige omk.'!C16*(1+'Fane 14. Nøgletal'!C14)^3+'Fane 6. Ikke-påvirkelige omk.'!C23+'Fane 6. Ikke-påvirkelige omk.'!C31</f>
        <v>3139800.7492245929</v>
      </c>
      <c r="D17" s="11" t="s">
        <v>3</v>
      </c>
      <c r="E17" s="1"/>
    </row>
    <row r="18" spans="1:5" ht="15" customHeight="1" x14ac:dyDescent="0.25">
      <c r="A18" s="1"/>
      <c r="B18" s="34" t="s">
        <v>78</v>
      </c>
      <c r="C18" s="35"/>
      <c r="D18" s="20"/>
      <c r="E18" s="1"/>
    </row>
    <row r="19" spans="1:5" ht="15" customHeight="1" x14ac:dyDescent="0.25">
      <c r="A19" s="1"/>
      <c r="B19" s="46" t="s">
        <v>78</v>
      </c>
      <c r="C19" s="10">
        <f>'Fane 11. Periodevise driftsomk.'!E30</f>
        <v>0</v>
      </c>
      <c r="D19" s="11" t="s">
        <v>3</v>
      </c>
      <c r="E19" s="1"/>
    </row>
    <row r="20" spans="1:5" ht="15" customHeight="1" x14ac:dyDescent="0.25">
      <c r="A20" s="1"/>
      <c r="B20" s="34" t="s">
        <v>77</v>
      </c>
      <c r="C20" s="35"/>
      <c r="D20" s="20"/>
      <c r="E20" s="1"/>
    </row>
    <row r="21" spans="1:5" ht="15" customHeight="1" x14ac:dyDescent="0.25">
      <c r="A21" s="1"/>
      <c r="B21" s="49" t="s">
        <v>73</v>
      </c>
      <c r="C21" s="9">
        <f>'Fane 10.2. Engangstillæg'!C38</f>
        <v>0</v>
      </c>
      <c r="D21" s="8" t="s">
        <v>3</v>
      </c>
      <c r="E21" s="1"/>
    </row>
    <row r="22" spans="1:5" ht="15" customHeight="1" x14ac:dyDescent="0.25">
      <c r="A22" s="1"/>
      <c r="B22" s="49" t="s">
        <v>74</v>
      </c>
      <c r="C22" s="9">
        <f>'Fane 10.2. Engangstillæg'!E38</f>
        <v>0</v>
      </c>
      <c r="D22" s="8" t="s">
        <v>3</v>
      </c>
      <c r="E22" s="1"/>
    </row>
    <row r="23" spans="1:5" ht="15" customHeight="1" x14ac:dyDescent="0.25">
      <c r="A23" s="1"/>
      <c r="B23" s="46" t="s">
        <v>79</v>
      </c>
      <c r="C23" s="10">
        <f>SUM(C21:C22)</f>
        <v>0</v>
      </c>
      <c r="D23" s="11" t="s">
        <v>3</v>
      </c>
      <c r="E23" s="1"/>
    </row>
    <row r="24" spans="1:5" ht="15" customHeight="1" x14ac:dyDescent="0.25">
      <c r="A24" s="1"/>
      <c r="B24" s="34" t="s">
        <v>186</v>
      </c>
      <c r="C24" s="12">
        <f>SUM(C15,C17,C19,C23)</f>
        <v>146507682.83166707</v>
      </c>
      <c r="D24" s="13" t="s">
        <v>3</v>
      </c>
      <c r="E24" s="1"/>
    </row>
    <row r="25" spans="1:5" ht="15" customHeight="1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bHEPnawUBbw/ZVoTO9qZ+LrbSqSGUCaxBBU98QhFo2UkQH7SOuvzXCpQbnvKVhN5i927XfrYJsZGUVk+Rz3cKA==" saltValue="zrq87kWlEa+A+LpBpn3gGQ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9"/>
  <sheetViews>
    <sheetView showGridLines="0" view="pageLayout" zoomScaleNormal="100" workbookViewId="0"/>
  </sheetViews>
  <sheetFormatPr defaultColWidth="9" defaultRowHeight="15" x14ac:dyDescent="0.25"/>
  <cols>
    <col min="1" max="1" width="7.85546875" style="2" customWidth="1"/>
    <col min="2" max="2" width="12.140625" style="2" customWidth="1"/>
    <col min="3" max="3" width="12" style="2" customWidth="1"/>
    <col min="4" max="4" width="31.7109375" style="2" customWidth="1"/>
    <col min="5" max="5" width="10.85546875" style="2" bestFit="1" customWidth="1"/>
    <col min="6" max="6" width="3.5703125" style="2" bestFit="1" customWidth="1"/>
    <col min="7" max="7" width="7.85546875" style="2" customWidth="1"/>
    <col min="8" max="16384" width="9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4" t="s">
        <v>187</v>
      </c>
      <c r="C3" s="84"/>
      <c r="D3" s="84"/>
      <c r="E3" s="84"/>
      <c r="F3" s="84"/>
      <c r="G3" s="1"/>
    </row>
    <row r="4" spans="1:7" ht="29.25" customHeight="1" x14ac:dyDescent="0.25">
      <c r="A4" s="1"/>
      <c r="B4" s="84"/>
      <c r="C4" s="84"/>
      <c r="D4" s="84"/>
      <c r="E4" s="84"/>
      <c r="F4" s="8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4" t="s">
        <v>188</v>
      </c>
      <c r="C8" s="35"/>
      <c r="D8" s="35"/>
      <c r="E8" s="35"/>
      <c r="F8" s="20"/>
      <c r="G8" s="1"/>
    </row>
    <row r="9" spans="1:7" x14ac:dyDescent="0.25">
      <c r="A9" s="1"/>
      <c r="B9" s="85" t="s">
        <v>25</v>
      </c>
      <c r="C9" s="86"/>
      <c r="D9" s="87"/>
      <c r="E9" s="7">
        <v>154333664.3330763</v>
      </c>
      <c r="F9" s="8" t="s">
        <v>3</v>
      </c>
      <c r="G9" s="1"/>
    </row>
    <row r="10" spans="1:7" ht="14.25" customHeight="1" x14ac:dyDescent="0.25">
      <c r="A10" s="1"/>
      <c r="B10" s="91" t="s">
        <v>227</v>
      </c>
      <c r="C10" s="92"/>
      <c r="D10" s="93"/>
      <c r="E10" s="7">
        <v>0</v>
      </c>
      <c r="F10" s="8" t="s">
        <v>3</v>
      </c>
      <c r="G10" s="1"/>
    </row>
    <row r="11" spans="1:7" ht="14.25" customHeight="1" x14ac:dyDescent="0.25">
      <c r="A11" s="1"/>
      <c r="B11" s="91" t="s">
        <v>228</v>
      </c>
      <c r="C11" s="92"/>
      <c r="D11" s="93"/>
      <c r="E11" s="7">
        <v>173149.20017704411</v>
      </c>
      <c r="F11" s="8" t="s">
        <v>3</v>
      </c>
      <c r="G11" s="1"/>
    </row>
    <row r="12" spans="1:7" x14ac:dyDescent="0.25">
      <c r="A12" s="1"/>
      <c r="B12" s="91" t="s">
        <v>189</v>
      </c>
      <c r="C12" s="92"/>
      <c r="D12" s="93"/>
      <c r="E12" s="9">
        <v>1687281.1237803905</v>
      </c>
      <c r="F12" s="8" t="s">
        <v>3</v>
      </c>
      <c r="G12" s="1"/>
    </row>
    <row r="13" spans="1:7" x14ac:dyDescent="0.25">
      <c r="A13" s="1"/>
      <c r="B13" s="91" t="s">
        <v>190</v>
      </c>
      <c r="C13" s="92"/>
      <c r="D13" s="93"/>
      <c r="E13" s="9">
        <v>4366780.7505026078</v>
      </c>
      <c r="F13" s="8" t="s">
        <v>3</v>
      </c>
      <c r="G13" s="1"/>
    </row>
    <row r="14" spans="1:7" x14ac:dyDescent="0.25">
      <c r="A14" s="1"/>
      <c r="B14" s="88" t="s">
        <v>43</v>
      </c>
      <c r="C14" s="89"/>
      <c r="D14" s="90"/>
      <c r="E14" s="9">
        <v>4672426.5420000004</v>
      </c>
      <c r="F14" s="8" t="s">
        <v>3</v>
      </c>
      <c r="G14" s="1"/>
    </row>
    <row r="15" spans="1:7" x14ac:dyDescent="0.25">
      <c r="A15" s="1"/>
      <c r="B15" s="88" t="s">
        <v>44</v>
      </c>
      <c r="C15" s="89"/>
      <c r="D15" s="90"/>
      <c r="E15" s="9">
        <v>1653814.3481999999</v>
      </c>
      <c r="F15" s="8" t="s">
        <v>3</v>
      </c>
      <c r="G15" s="1"/>
    </row>
    <row r="16" spans="1:7" x14ac:dyDescent="0.25">
      <c r="A16" s="1"/>
      <c r="B16" s="88" t="s">
        <v>30</v>
      </c>
      <c r="C16" s="89"/>
      <c r="D16" s="90"/>
      <c r="E16" s="9">
        <v>0</v>
      </c>
      <c r="F16" s="8" t="s">
        <v>3</v>
      </c>
      <c r="G16" s="1"/>
    </row>
    <row r="17" spans="1:7" x14ac:dyDescent="0.25">
      <c r="A17" s="1"/>
      <c r="B17" s="88" t="s">
        <v>29</v>
      </c>
      <c r="C17" s="89"/>
      <c r="D17" s="90"/>
      <c r="E17" s="9">
        <v>0</v>
      </c>
      <c r="F17" s="8" t="s">
        <v>3</v>
      </c>
      <c r="G17" s="1"/>
    </row>
    <row r="18" spans="1:7" x14ac:dyDescent="0.25">
      <c r="A18" s="1"/>
      <c r="B18" s="88" t="s">
        <v>137</v>
      </c>
      <c r="C18" s="89"/>
      <c r="D18" s="90"/>
      <c r="E18" s="9">
        <v>0</v>
      </c>
      <c r="F18" s="8" t="s">
        <v>3</v>
      </c>
      <c r="G18" s="1"/>
    </row>
    <row r="19" spans="1:7" x14ac:dyDescent="0.25">
      <c r="A19" s="1"/>
      <c r="B19" s="88" t="s">
        <v>138</v>
      </c>
      <c r="C19" s="89"/>
      <c r="D19" s="90"/>
      <c r="E19" s="9">
        <v>0</v>
      </c>
      <c r="F19" s="8" t="s">
        <v>3</v>
      </c>
      <c r="G19" s="1"/>
    </row>
    <row r="20" spans="1:7" x14ac:dyDescent="0.25">
      <c r="A20" s="1"/>
      <c r="B20" s="88" t="s">
        <v>20</v>
      </c>
      <c r="C20" s="89"/>
      <c r="D20" s="90"/>
      <c r="E20" s="9">
        <v>2791234.3112925924</v>
      </c>
      <c r="F20" s="8" t="s">
        <v>3</v>
      </c>
      <c r="G20" s="1"/>
    </row>
    <row r="21" spans="1:7" x14ac:dyDescent="0.25">
      <c r="A21" s="1"/>
      <c r="B21" s="88" t="s">
        <v>10</v>
      </c>
      <c r="C21" s="89"/>
      <c r="D21" s="90"/>
      <c r="E21" s="9">
        <v>0</v>
      </c>
      <c r="F21" s="8" t="s">
        <v>3</v>
      </c>
      <c r="G21" s="1"/>
    </row>
    <row r="22" spans="1:7" x14ac:dyDescent="0.25">
      <c r="A22" s="1"/>
      <c r="B22" s="88" t="s">
        <v>27</v>
      </c>
      <c r="C22" s="89"/>
      <c r="D22" s="90"/>
      <c r="E22" s="9">
        <f>-'Fane 4.1. Gen. krav - drift'!G36</f>
        <v>-1177356.4191049675</v>
      </c>
      <c r="F22" s="8" t="s">
        <v>3</v>
      </c>
      <c r="G22" s="1"/>
    </row>
    <row r="23" spans="1:7" x14ac:dyDescent="0.25">
      <c r="A23" s="1"/>
      <c r="B23" s="88" t="s">
        <v>28</v>
      </c>
      <c r="C23" s="89"/>
      <c r="D23" s="90"/>
      <c r="E23" s="9">
        <f>-'Fane 4.2. Gen. krav - anlæg'!G34</f>
        <v>-1924234.2145698916</v>
      </c>
      <c r="F23" s="8" t="s">
        <v>3</v>
      </c>
      <c r="G23" s="1"/>
    </row>
    <row r="24" spans="1:7" x14ac:dyDescent="0.25">
      <c r="A24" s="1"/>
      <c r="B24" s="100" t="s">
        <v>22</v>
      </c>
      <c r="C24" s="101"/>
      <c r="D24" s="102"/>
      <c r="E24" s="10">
        <f>SUM(E9,E14:E23)</f>
        <v>160349548.90089402</v>
      </c>
      <c r="F24" s="11" t="s">
        <v>3</v>
      </c>
      <c r="G24" s="1"/>
    </row>
    <row r="25" spans="1:7" x14ac:dyDescent="0.25">
      <c r="A25" s="1"/>
      <c r="B25" s="34" t="s">
        <v>13</v>
      </c>
      <c r="C25" s="35"/>
      <c r="D25" s="35"/>
      <c r="E25" s="35"/>
      <c r="F25" s="20"/>
      <c r="G25" s="1"/>
    </row>
    <row r="26" spans="1:7" ht="14.25" customHeight="1" x14ac:dyDescent="0.25">
      <c r="A26" s="1"/>
      <c r="B26" s="97" t="s">
        <v>13</v>
      </c>
      <c r="C26" s="98"/>
      <c r="D26" s="99"/>
      <c r="E26" s="10">
        <v>3047803.3000598401</v>
      </c>
      <c r="F26" s="10" t="s">
        <v>3</v>
      </c>
      <c r="G26" s="1"/>
    </row>
    <row r="27" spans="1:7" ht="14.25" customHeight="1" x14ac:dyDescent="0.25">
      <c r="A27" s="1"/>
      <c r="B27" s="34" t="s">
        <v>78</v>
      </c>
      <c r="C27" s="35"/>
      <c r="D27" s="35"/>
      <c r="E27" s="35"/>
      <c r="F27" s="20"/>
      <c r="G27" s="1"/>
    </row>
    <row r="28" spans="1:7" x14ac:dyDescent="0.25">
      <c r="A28" s="1"/>
      <c r="B28" s="103" t="s">
        <v>78</v>
      </c>
      <c r="C28" s="104"/>
      <c r="D28" s="105"/>
      <c r="E28" s="10">
        <v>0</v>
      </c>
      <c r="F28" s="10" t="s">
        <v>3</v>
      </c>
      <c r="G28" s="1"/>
    </row>
    <row r="29" spans="1:7" x14ac:dyDescent="0.25">
      <c r="A29" s="1"/>
      <c r="B29" s="34" t="s">
        <v>77</v>
      </c>
      <c r="C29" s="35"/>
      <c r="D29" s="35"/>
      <c r="E29" s="35"/>
      <c r="F29" s="20"/>
      <c r="G29" s="1"/>
    </row>
    <row r="30" spans="1:7" ht="15.4" customHeight="1" x14ac:dyDescent="0.25">
      <c r="A30" s="1"/>
      <c r="B30" s="91" t="s">
        <v>73</v>
      </c>
      <c r="C30" s="92"/>
      <c r="D30" s="93"/>
      <c r="E30" s="32">
        <v>0</v>
      </c>
      <c r="F30" s="8" t="s">
        <v>3</v>
      </c>
      <c r="G30" s="1"/>
    </row>
    <row r="31" spans="1:7" ht="15.75" customHeight="1" x14ac:dyDescent="0.25">
      <c r="A31" s="1"/>
      <c r="B31" s="91" t="s">
        <v>74</v>
      </c>
      <c r="C31" s="92"/>
      <c r="D31" s="93"/>
      <c r="E31" s="32">
        <v>0</v>
      </c>
      <c r="F31" s="8" t="s">
        <v>3</v>
      </c>
      <c r="G31" s="1"/>
    </row>
    <row r="32" spans="1:7" x14ac:dyDescent="0.25">
      <c r="A32" s="1"/>
      <c r="B32" s="46" t="s">
        <v>79</v>
      </c>
      <c r="C32" s="44"/>
      <c r="D32" s="45"/>
      <c r="E32" s="10">
        <v>0</v>
      </c>
      <c r="F32" s="11" t="s">
        <v>3</v>
      </c>
      <c r="G32" s="1"/>
    </row>
    <row r="33" spans="1:7" x14ac:dyDescent="0.25">
      <c r="A33" s="1"/>
      <c r="B33" s="34" t="s">
        <v>283</v>
      </c>
      <c r="C33" s="35"/>
      <c r="D33" s="35"/>
      <c r="E33" s="35"/>
      <c r="F33" s="20"/>
      <c r="G33" s="1"/>
    </row>
    <row r="34" spans="1:7" ht="15" customHeight="1" x14ac:dyDescent="0.25">
      <c r="A34" s="1"/>
      <c r="B34" s="97" t="s">
        <v>283</v>
      </c>
      <c r="C34" s="98"/>
      <c r="D34" s="99"/>
      <c r="E34" s="10">
        <v>0</v>
      </c>
      <c r="F34" s="11" t="s">
        <v>3</v>
      </c>
      <c r="G34" s="1"/>
    </row>
    <row r="35" spans="1:7" x14ac:dyDescent="0.25">
      <c r="A35" s="1"/>
      <c r="B35" s="34" t="s">
        <v>31</v>
      </c>
      <c r="C35" s="35"/>
      <c r="D35" s="35"/>
      <c r="E35" s="12">
        <f>E24+E26+E28+E32+E34</f>
        <v>163397352.20095384</v>
      </c>
      <c r="F35" s="13" t="s">
        <v>3</v>
      </c>
      <c r="G35" s="1"/>
    </row>
    <row r="36" spans="1:7" ht="26.85" customHeight="1" x14ac:dyDescent="0.25">
      <c r="A36" s="1"/>
      <c r="B36" s="94" t="s">
        <v>226</v>
      </c>
      <c r="C36" s="95"/>
      <c r="D36" s="95"/>
      <c r="E36" s="95"/>
      <c r="F36" s="96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fVfy3fNHfMUylOGUpXCkKP5c0Ze0B+SaGGq/s2kVE6Wl7YQzKBJiXT2jSecAMd995RMo6fmt+rrv27TNYjBtqg==" saltValue="qz6mpWPZAC/aUC3oWyiJqQ==" spinCount="100000" sheet="1" objects="1" scenarios="1"/>
  <mergeCells count="23">
    <mergeCell ref="B36:F36"/>
    <mergeCell ref="B34:D34"/>
    <mergeCell ref="B17:D17"/>
    <mergeCell ref="B18:D18"/>
    <mergeCell ref="B19:D19"/>
    <mergeCell ref="B20:D20"/>
    <mergeCell ref="B21:D21"/>
    <mergeCell ref="B22:D22"/>
    <mergeCell ref="B26:D26"/>
    <mergeCell ref="B23:D23"/>
    <mergeCell ref="B24:D24"/>
    <mergeCell ref="B28:D28"/>
    <mergeCell ref="B30:D30"/>
    <mergeCell ref="B31:D31"/>
    <mergeCell ref="B3:F4"/>
    <mergeCell ref="B9:D9"/>
    <mergeCell ref="B14:D14"/>
    <mergeCell ref="B15:D15"/>
    <mergeCell ref="B16:D16"/>
    <mergeCell ref="B12:D12"/>
    <mergeCell ref="B13:D13"/>
    <mergeCell ref="B10:D10"/>
    <mergeCell ref="B11:D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64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7109375" style="2" bestFit="1" customWidth="1"/>
    <col min="8" max="8" width="6.425781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84" t="s">
        <v>121</v>
      </c>
      <c r="C1" s="84"/>
      <c r="D1" s="84"/>
      <c r="E1" s="84"/>
      <c r="F1" s="84"/>
      <c r="G1" s="84"/>
      <c r="H1" s="84"/>
      <c r="I1" s="1"/>
    </row>
    <row r="2" spans="1:9" ht="15" customHeight="1" x14ac:dyDescent="0.25">
      <c r="A2" s="1"/>
      <c r="B2" s="84"/>
      <c r="C2" s="84"/>
      <c r="D2" s="84"/>
      <c r="E2" s="84"/>
      <c r="F2" s="84"/>
      <c r="G2" s="84"/>
      <c r="H2" s="84"/>
      <c r="I2" s="1"/>
    </row>
    <row r="3" spans="1:9" ht="15" customHeight="1" x14ac:dyDescent="0.25">
      <c r="A3" s="1"/>
      <c r="B3" s="84"/>
      <c r="C3" s="84"/>
      <c r="D3" s="84"/>
      <c r="E3" s="84"/>
      <c r="F3" s="84"/>
      <c r="G3" s="84"/>
      <c r="H3" s="84"/>
      <c r="I3" s="1"/>
    </row>
    <row r="4" spans="1:9" x14ac:dyDescent="0.25">
      <c r="A4" s="1"/>
      <c r="B4" s="112" t="s">
        <v>229</v>
      </c>
      <c r="C4" s="113"/>
      <c r="D4" s="113"/>
      <c r="E4" s="113"/>
      <c r="F4" s="113"/>
      <c r="G4" s="113"/>
      <c r="H4" s="114"/>
      <c r="I4" s="1"/>
    </row>
    <row r="5" spans="1:9" x14ac:dyDescent="0.25">
      <c r="A5" s="1"/>
      <c r="B5" s="106" t="s">
        <v>230</v>
      </c>
      <c r="C5" s="107"/>
      <c r="D5" s="107"/>
      <c r="E5" s="107"/>
      <c r="F5" s="108"/>
      <c r="G5" s="63">
        <v>53019716</v>
      </c>
      <c r="H5" s="14" t="s">
        <v>3</v>
      </c>
      <c r="I5" s="1"/>
    </row>
    <row r="6" spans="1:9" ht="15" customHeight="1" x14ac:dyDescent="0.25">
      <c r="A6" s="1"/>
      <c r="B6" s="94" t="s">
        <v>231</v>
      </c>
      <c r="C6" s="95"/>
      <c r="D6" s="95"/>
      <c r="E6" s="95"/>
      <c r="F6" s="96"/>
      <c r="G6" s="63">
        <v>0</v>
      </c>
      <c r="H6" s="14" t="s">
        <v>3</v>
      </c>
      <c r="I6" s="1"/>
    </row>
    <row r="7" spans="1:9" x14ac:dyDescent="0.25">
      <c r="A7" s="1"/>
      <c r="B7" s="106" t="s">
        <v>232</v>
      </c>
      <c r="C7" s="107"/>
      <c r="D7" s="107"/>
      <c r="E7" s="107"/>
      <c r="F7" s="108"/>
      <c r="G7" s="63">
        <f>SUM(G5:G6)*'Fane 14. Nøgletal'!C29</f>
        <v>1060394.32</v>
      </c>
      <c r="H7" s="14" t="s">
        <v>3</v>
      </c>
      <c r="I7" s="1"/>
    </row>
    <row r="8" spans="1:9" x14ac:dyDescent="0.25">
      <c r="A8" s="1"/>
      <c r="B8" s="34"/>
      <c r="C8" s="35"/>
      <c r="D8" s="35"/>
      <c r="E8" s="35"/>
      <c r="F8" s="35"/>
      <c r="G8" s="35"/>
      <c r="H8" s="20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12" t="s">
        <v>53</v>
      </c>
      <c r="C10" s="113"/>
      <c r="D10" s="113"/>
      <c r="E10" s="113"/>
      <c r="F10" s="113"/>
      <c r="G10" s="113"/>
      <c r="H10" s="114"/>
      <c r="I10" s="1"/>
    </row>
    <row r="11" spans="1:9" x14ac:dyDescent="0.25">
      <c r="A11" s="1"/>
      <c r="B11" s="106" t="s">
        <v>233</v>
      </c>
      <c r="C11" s="107"/>
      <c r="D11" s="107"/>
      <c r="E11" s="107"/>
      <c r="F11" s="108"/>
      <c r="G11" s="63">
        <f>(G5-G7)*(1+'Fane 14. Nøgletal'!C10)</f>
        <v>52868609.8094</v>
      </c>
      <c r="H11" s="14" t="s">
        <v>3</v>
      </c>
      <c r="I11" s="1"/>
    </row>
    <row r="12" spans="1:9" x14ac:dyDescent="0.25">
      <c r="A12" s="1"/>
      <c r="B12" s="106" t="s">
        <v>133</v>
      </c>
      <c r="C12" s="107"/>
      <c r="D12" s="107"/>
      <c r="E12" s="107"/>
      <c r="F12" s="108"/>
      <c r="G12" s="63">
        <v>0</v>
      </c>
      <c r="H12" s="14" t="s">
        <v>3</v>
      </c>
      <c r="I12" s="1"/>
    </row>
    <row r="13" spans="1:9" x14ac:dyDescent="0.25">
      <c r="A13" s="1"/>
      <c r="B13" s="94" t="s">
        <v>131</v>
      </c>
      <c r="C13" s="95"/>
      <c r="D13" s="95"/>
      <c r="E13" s="95"/>
      <c r="F13" s="96"/>
      <c r="G13" s="63">
        <v>0</v>
      </c>
      <c r="H13" s="14" t="s">
        <v>3</v>
      </c>
      <c r="I13" s="1"/>
    </row>
    <row r="14" spans="1:9" x14ac:dyDescent="0.25">
      <c r="A14" s="1"/>
      <c r="B14" s="117" t="s">
        <v>234</v>
      </c>
      <c r="C14" s="110"/>
      <c r="D14" s="110"/>
      <c r="E14" s="110"/>
      <c r="F14" s="111"/>
      <c r="G14" s="63">
        <v>0</v>
      </c>
      <c r="H14" s="14" t="s">
        <v>3</v>
      </c>
      <c r="I14" s="1"/>
    </row>
    <row r="15" spans="1:9" x14ac:dyDescent="0.25">
      <c r="A15" s="1"/>
      <c r="B15" s="106" t="s">
        <v>46</v>
      </c>
      <c r="C15" s="107"/>
      <c r="D15" s="107"/>
      <c r="E15" s="107"/>
      <c r="F15" s="108"/>
      <c r="G15" s="63">
        <f>SUM(G11:G14)*'Fane 14. Nøgletal'!C29</f>
        <v>1057372.196188</v>
      </c>
      <c r="H15" s="14" t="s">
        <v>3</v>
      </c>
      <c r="I15" s="1"/>
    </row>
    <row r="16" spans="1:9" x14ac:dyDescent="0.25">
      <c r="A16" s="1"/>
      <c r="B16" s="34"/>
      <c r="C16" s="35"/>
      <c r="D16" s="35"/>
      <c r="E16" s="35"/>
      <c r="F16" s="35"/>
      <c r="G16" s="35"/>
      <c r="H16" s="20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12" t="s">
        <v>54</v>
      </c>
      <c r="C18" s="113"/>
      <c r="D18" s="113"/>
      <c r="E18" s="113"/>
      <c r="F18" s="113"/>
      <c r="G18" s="113"/>
      <c r="H18" s="114"/>
      <c r="I18" s="1"/>
    </row>
    <row r="19" spans="1:9" x14ac:dyDescent="0.25">
      <c r="A19" s="1"/>
      <c r="B19" s="106" t="s">
        <v>47</v>
      </c>
      <c r="C19" s="107"/>
      <c r="D19" s="107"/>
      <c r="E19" s="107"/>
      <c r="F19" s="108"/>
      <c r="G19" s="63">
        <f>(G11+G12+G14-G15)*(1+'Fane 14. Nøgletal'!C10)</f>
        <v>52717934.271443211</v>
      </c>
      <c r="H19" s="14" t="s">
        <v>3</v>
      </c>
      <c r="I19" s="1"/>
    </row>
    <row r="20" spans="1:9" x14ac:dyDescent="0.25">
      <c r="A20" s="1"/>
      <c r="B20" s="117" t="s">
        <v>48</v>
      </c>
      <c r="C20" s="110"/>
      <c r="D20" s="110"/>
      <c r="E20" s="110"/>
      <c r="F20" s="111"/>
      <c r="G20" s="63">
        <v>0</v>
      </c>
      <c r="H20" s="14" t="s">
        <v>3</v>
      </c>
      <c r="I20" s="1"/>
    </row>
    <row r="21" spans="1:9" x14ac:dyDescent="0.25">
      <c r="A21" s="1"/>
      <c r="B21" s="106" t="s">
        <v>49</v>
      </c>
      <c r="C21" s="107"/>
      <c r="D21" s="107"/>
      <c r="E21" s="107"/>
      <c r="F21" s="108"/>
      <c r="G21" s="63">
        <f>(G19+G20)*'Fane 14. Nøgletal'!C29</f>
        <v>1054358.6854288643</v>
      </c>
      <c r="H21" s="14" t="s">
        <v>3</v>
      </c>
      <c r="I21" s="1"/>
    </row>
    <row r="22" spans="1:9" x14ac:dyDescent="0.25">
      <c r="A22" s="1"/>
      <c r="B22" s="34"/>
      <c r="C22" s="35"/>
      <c r="D22" s="35"/>
      <c r="E22" s="35"/>
      <c r="F22" s="35"/>
      <c r="G22" s="35"/>
      <c r="H22" s="20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12" t="s">
        <v>55</v>
      </c>
      <c r="C24" s="113"/>
      <c r="D24" s="113"/>
      <c r="E24" s="113"/>
      <c r="F24" s="113"/>
      <c r="G24" s="113"/>
      <c r="H24" s="114"/>
      <c r="I24" s="1"/>
    </row>
    <row r="25" spans="1:9" x14ac:dyDescent="0.25">
      <c r="A25" s="1"/>
      <c r="B25" s="106" t="s">
        <v>50</v>
      </c>
      <c r="C25" s="107"/>
      <c r="D25" s="107"/>
      <c r="E25" s="107"/>
      <c r="F25" s="108"/>
      <c r="G25" s="63">
        <f>G19*(1-'Fane 14. Nøgletal'!C29)*(1+'Fane 14. Nøgletal'!C10)+G20*(1-'Fane 14. Nøgletal'!C29)*(1+'Fane 14. Nøgletal'!C11)</f>
        <v>52567688.1587696</v>
      </c>
      <c r="H25" s="14" t="s">
        <v>3</v>
      </c>
      <c r="I25" s="1"/>
    </row>
    <row r="26" spans="1:9" x14ac:dyDescent="0.25">
      <c r="A26" s="1"/>
      <c r="B26" s="109" t="s">
        <v>235</v>
      </c>
      <c r="C26" s="115"/>
      <c r="D26" s="115"/>
      <c r="E26" s="115"/>
      <c r="F26" s="116"/>
      <c r="G26" s="63">
        <v>0</v>
      </c>
      <c r="H26" s="14" t="s">
        <v>3</v>
      </c>
      <c r="I26" s="1"/>
    </row>
    <row r="27" spans="1:9" x14ac:dyDescent="0.25">
      <c r="A27" s="1"/>
      <c r="B27" s="117" t="s">
        <v>51</v>
      </c>
      <c r="C27" s="110"/>
      <c r="D27" s="110"/>
      <c r="E27" s="110"/>
      <c r="F27" s="111"/>
      <c r="G27" s="63">
        <v>1721715.43242897</v>
      </c>
      <c r="H27" s="14" t="s">
        <v>3</v>
      </c>
      <c r="I27" s="1"/>
    </row>
    <row r="28" spans="1:9" x14ac:dyDescent="0.25">
      <c r="A28" s="1"/>
      <c r="B28" s="106" t="s">
        <v>52</v>
      </c>
      <c r="C28" s="107"/>
      <c r="D28" s="107"/>
      <c r="E28" s="107"/>
      <c r="F28" s="108"/>
      <c r="G28" s="63">
        <f>SUM(G25,G27)*'Fane 14. Nøgletal'!C29</f>
        <v>1085788.0718239713</v>
      </c>
      <c r="H28" s="14" t="s">
        <v>3</v>
      </c>
      <c r="I28" s="1"/>
    </row>
    <row r="29" spans="1:9" x14ac:dyDescent="0.25">
      <c r="A29" s="1"/>
      <c r="B29" s="34"/>
      <c r="C29" s="35"/>
      <c r="D29" s="35"/>
      <c r="E29" s="35"/>
      <c r="F29" s="35"/>
      <c r="G29" s="35"/>
      <c r="H29" s="20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12" t="s">
        <v>56</v>
      </c>
      <c r="C31" s="113"/>
      <c r="D31" s="113"/>
      <c r="E31" s="113"/>
      <c r="F31" s="113"/>
      <c r="G31" s="113"/>
      <c r="H31" s="114"/>
      <c r="I31" s="1"/>
    </row>
    <row r="32" spans="1:9" x14ac:dyDescent="0.25">
      <c r="A32" s="1"/>
      <c r="B32" s="106" t="s">
        <v>57</v>
      </c>
      <c r="C32" s="107"/>
      <c r="D32" s="107"/>
      <c r="E32" s="107"/>
      <c r="F32" s="108"/>
      <c r="G32" s="63">
        <f>(G25-G26)*(1-'Fane 14. Nøgletal'!C29)*(1+'Fane 14. Nøgletal'!C10)+G26*(1-'Fane 14. Nøgletal'!C29)*(1+'Fane 14. Nøgletal'!C11)+G27*(1-'Fane 14. Nøgletal'!C29)*(1+'Fane 14. Nøgletal'!C12)</f>
        <v>54138390.809435971</v>
      </c>
      <c r="H32" s="14" t="s">
        <v>3</v>
      </c>
      <c r="I32" s="1"/>
    </row>
    <row r="33" spans="1:9" x14ac:dyDescent="0.25">
      <c r="A33" s="1"/>
      <c r="B33" s="109" t="s">
        <v>235</v>
      </c>
      <c r="C33" s="110"/>
      <c r="D33" s="110"/>
      <c r="E33" s="110"/>
      <c r="F33" s="111"/>
      <c r="G33" s="63">
        <v>0</v>
      </c>
      <c r="H33" s="14" t="s">
        <v>3</v>
      </c>
      <c r="I33" s="1"/>
    </row>
    <row r="34" spans="1:9" x14ac:dyDescent="0.25">
      <c r="A34" s="1"/>
      <c r="B34" s="109" t="s">
        <v>130</v>
      </c>
      <c r="C34" s="110"/>
      <c r="D34" s="110"/>
      <c r="E34" s="110"/>
      <c r="F34" s="111"/>
      <c r="G34" s="63">
        <f>G27*(1-'Fane 14. Nøgletal'!C29)*(1+'Fane 14. Nøgletal'!C12)</f>
        <v>1720520.5619188643</v>
      </c>
      <c r="H34" s="14" t="s">
        <v>3</v>
      </c>
      <c r="I34" s="1"/>
    </row>
    <row r="35" spans="1:9" x14ac:dyDescent="0.25">
      <c r="A35" s="1"/>
      <c r="B35" s="106" t="s">
        <v>159</v>
      </c>
      <c r="C35" s="107"/>
      <c r="D35" s="107"/>
      <c r="E35" s="107"/>
      <c r="F35" s="108"/>
      <c r="G35" s="63">
        <v>4729430.1458124006</v>
      </c>
      <c r="H35" s="14" t="s">
        <v>3</v>
      </c>
      <c r="I35" s="1"/>
    </row>
    <row r="36" spans="1:9" x14ac:dyDescent="0.25">
      <c r="A36" s="1"/>
      <c r="B36" s="106" t="s">
        <v>58</v>
      </c>
      <c r="C36" s="107"/>
      <c r="D36" s="107"/>
      <c r="E36" s="107"/>
      <c r="F36" s="108"/>
      <c r="G36" s="63">
        <f>SUM(G32,G35)*'Fane 14. Nøgletal'!C29</f>
        <v>1177356.4191049675</v>
      </c>
      <c r="H36" s="14" t="s">
        <v>3</v>
      </c>
      <c r="I36" s="1"/>
    </row>
    <row r="37" spans="1:9" x14ac:dyDescent="0.25">
      <c r="A37" s="1"/>
      <c r="B37" s="34"/>
      <c r="C37" s="35"/>
      <c r="D37" s="35"/>
      <c r="E37" s="35"/>
      <c r="F37" s="35"/>
      <c r="G37" s="35"/>
      <c r="H37" s="20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12" t="s">
        <v>191</v>
      </c>
      <c r="C39" s="113"/>
      <c r="D39" s="113"/>
      <c r="E39" s="113"/>
      <c r="F39" s="113"/>
      <c r="G39" s="113"/>
      <c r="H39" s="114"/>
      <c r="I39" s="1"/>
    </row>
    <row r="40" spans="1:9" x14ac:dyDescent="0.25">
      <c r="A40" s="1"/>
      <c r="B40" s="106" t="s">
        <v>245</v>
      </c>
      <c r="C40" s="107"/>
      <c r="D40" s="107"/>
      <c r="E40" s="107"/>
      <c r="F40" s="108"/>
      <c r="G40" s="63">
        <f>(SUM(G32,G35)-G36)*(1+'Fane 14. Nøgletal'!C14)</f>
        <v>57880843.069112681</v>
      </c>
      <c r="H40" s="14" t="s">
        <v>3</v>
      </c>
      <c r="I40" s="1"/>
    </row>
    <row r="41" spans="1:9" x14ac:dyDescent="0.25">
      <c r="A41" s="1"/>
      <c r="B41" s="106" t="s">
        <v>244</v>
      </c>
      <c r="C41" s="107"/>
      <c r="D41" s="107"/>
      <c r="E41" s="107"/>
      <c r="F41" s="108"/>
      <c r="G41" s="63">
        <f>(SUM('Fane 2.1. Økonomisk ramme 2022'!C10,'Fane 2.1. Økonomisk ramme 2022'!C12,'Fane 2.1. Økonomisk ramme 2022'!C14)*(1+'Fane 14. Nøgletal'!C14))</f>
        <v>1177063.3318363701</v>
      </c>
      <c r="H41" s="14" t="s">
        <v>3</v>
      </c>
      <c r="I41" s="1"/>
    </row>
    <row r="42" spans="1:9" x14ac:dyDescent="0.25">
      <c r="A42" s="1"/>
      <c r="B42" s="106" t="s">
        <v>243</v>
      </c>
      <c r="C42" s="107"/>
      <c r="D42" s="107"/>
      <c r="E42" s="107"/>
      <c r="F42" s="108"/>
      <c r="G42" s="63">
        <f>(G40+G41)*'Fane 14. Nøgletal'!C29</f>
        <v>1181158.1280189811</v>
      </c>
      <c r="H42" s="14" t="s">
        <v>3</v>
      </c>
      <c r="I42" s="1"/>
    </row>
    <row r="43" spans="1:9" x14ac:dyDescent="0.25">
      <c r="A43" s="1"/>
      <c r="B43" s="34"/>
      <c r="C43" s="35"/>
      <c r="D43" s="35"/>
      <c r="E43" s="35"/>
      <c r="F43" s="35"/>
      <c r="G43" s="35"/>
      <c r="H43" s="20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12" t="s">
        <v>223</v>
      </c>
      <c r="C45" s="113"/>
      <c r="D45" s="113"/>
      <c r="E45" s="113"/>
      <c r="F45" s="113"/>
      <c r="G45" s="113"/>
      <c r="H45" s="114"/>
      <c r="I45" s="1"/>
    </row>
    <row r="46" spans="1:9" x14ac:dyDescent="0.25">
      <c r="A46" s="1"/>
      <c r="B46" s="106" t="s">
        <v>256</v>
      </c>
      <c r="C46" s="107"/>
      <c r="D46" s="107"/>
      <c r="E46" s="107"/>
      <c r="F46" s="108"/>
      <c r="G46" s="63">
        <f>(G40+G41-G42)*(1+'Fane 14. Nøgletal'!C14)</f>
        <v>58067741.542230748</v>
      </c>
      <c r="H46" s="14" t="s">
        <v>3</v>
      </c>
      <c r="I46" s="1"/>
    </row>
    <row r="47" spans="1:9" x14ac:dyDescent="0.25">
      <c r="A47" s="1"/>
      <c r="B47" s="109" t="s">
        <v>258</v>
      </c>
      <c r="C47" s="110"/>
      <c r="D47" s="110"/>
      <c r="E47" s="110"/>
      <c r="F47" s="111"/>
      <c r="G47" s="63">
        <f>G41*(1+'Fane 14. Nøgletal'!C14)</f>
        <v>1180947.6408314302</v>
      </c>
      <c r="H47" s="14" t="s">
        <v>3</v>
      </c>
      <c r="I47" s="1"/>
    </row>
    <row r="48" spans="1:9" x14ac:dyDescent="0.25">
      <c r="A48" s="1"/>
      <c r="B48" s="106" t="s">
        <v>81</v>
      </c>
      <c r="C48" s="107"/>
      <c r="D48" s="107"/>
      <c r="E48" s="107"/>
      <c r="F48" s="108"/>
      <c r="G48" s="63">
        <v>0</v>
      </c>
      <c r="H48" s="14" t="s">
        <v>3</v>
      </c>
      <c r="I48" s="1"/>
    </row>
    <row r="49" spans="1:9" x14ac:dyDescent="0.25">
      <c r="A49" s="1"/>
      <c r="B49" s="106" t="s">
        <v>257</v>
      </c>
      <c r="C49" s="107"/>
      <c r="D49" s="107"/>
      <c r="E49" s="107"/>
      <c r="F49" s="108"/>
      <c r="G49" s="63">
        <f>(G46+G48)*'Fane 14. Nøgletal'!C29</f>
        <v>1161354.8308446149</v>
      </c>
      <c r="H49" s="14" t="s">
        <v>3</v>
      </c>
      <c r="I49" s="1"/>
    </row>
    <row r="50" spans="1:9" x14ac:dyDescent="0.25">
      <c r="A50" s="1"/>
      <c r="B50" s="34"/>
      <c r="C50" s="35"/>
      <c r="D50" s="35"/>
      <c r="E50" s="35"/>
      <c r="F50" s="35"/>
      <c r="G50" s="35"/>
      <c r="H50" s="20"/>
      <c r="I50" s="1"/>
    </row>
    <row r="51" spans="1:9" x14ac:dyDescent="0.25">
      <c r="A51" s="1"/>
      <c r="B51" s="33"/>
      <c r="C51" s="33"/>
      <c r="D51" s="33"/>
      <c r="E51" s="33"/>
      <c r="F51" s="33"/>
      <c r="G51" s="33"/>
      <c r="H51" s="33"/>
      <c r="I51" s="1"/>
    </row>
    <row r="52" spans="1:9" x14ac:dyDescent="0.25">
      <c r="A52" s="1"/>
      <c r="B52" s="33"/>
      <c r="C52" s="33"/>
      <c r="D52" s="33"/>
      <c r="E52" s="33"/>
      <c r="F52" s="33"/>
      <c r="G52" s="33"/>
      <c r="H52" s="33"/>
      <c r="I52" s="1"/>
    </row>
    <row r="53" spans="1:9" x14ac:dyDescent="0.25">
      <c r="A53" s="1"/>
      <c r="B53" s="112" t="s">
        <v>160</v>
      </c>
      <c r="C53" s="113"/>
      <c r="D53" s="113"/>
      <c r="E53" s="113"/>
      <c r="F53" s="113"/>
      <c r="G53" s="113"/>
      <c r="H53" s="114"/>
      <c r="I53" s="1"/>
    </row>
    <row r="54" spans="1:9" x14ac:dyDescent="0.25">
      <c r="A54" s="1"/>
      <c r="B54" s="106" t="s">
        <v>161</v>
      </c>
      <c r="C54" s="107"/>
      <c r="D54" s="107"/>
      <c r="E54" s="107"/>
      <c r="F54" s="108"/>
      <c r="G54" s="63">
        <f>(G46+G48-G49)*(1+'Fane 14. Nøgletal'!C14)</f>
        <v>57094177.787533708</v>
      </c>
      <c r="H54" s="14" t="s">
        <v>3</v>
      </c>
      <c r="I54" s="1"/>
    </row>
    <row r="55" spans="1:9" x14ac:dyDescent="0.25">
      <c r="A55" s="1"/>
      <c r="B55" s="106" t="s">
        <v>162</v>
      </c>
      <c r="C55" s="107"/>
      <c r="D55" s="107"/>
      <c r="E55" s="107"/>
      <c r="F55" s="108"/>
      <c r="G55" s="63">
        <v>0</v>
      </c>
      <c r="H55" s="14" t="s">
        <v>3</v>
      </c>
      <c r="I55" s="1"/>
    </row>
    <row r="56" spans="1:9" x14ac:dyDescent="0.25">
      <c r="A56" s="1"/>
      <c r="B56" s="106" t="s">
        <v>163</v>
      </c>
      <c r="C56" s="107"/>
      <c r="D56" s="107"/>
      <c r="E56" s="107"/>
      <c r="F56" s="108"/>
      <c r="G56" s="63">
        <f>(G54+G55)*'Fane 14. Nøgletal'!C29</f>
        <v>1141883.5557506741</v>
      </c>
      <c r="H56" s="14" t="s">
        <v>3</v>
      </c>
      <c r="I56" s="1"/>
    </row>
    <row r="57" spans="1:9" x14ac:dyDescent="0.25">
      <c r="A57" s="1"/>
      <c r="B57" s="34"/>
      <c r="C57" s="35"/>
      <c r="D57" s="35"/>
      <c r="E57" s="35"/>
      <c r="F57" s="35"/>
      <c r="G57" s="35"/>
      <c r="H57" s="20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52" t="s">
        <v>224</v>
      </c>
      <c r="C59" s="53"/>
      <c r="D59" s="53"/>
      <c r="E59" s="53"/>
      <c r="F59" s="53"/>
      <c r="G59" s="53"/>
      <c r="H59" s="54"/>
      <c r="I59" s="1"/>
    </row>
    <row r="60" spans="1:9" x14ac:dyDescent="0.25">
      <c r="A60" s="1"/>
      <c r="B60" s="55" t="s">
        <v>236</v>
      </c>
      <c r="C60" s="56"/>
      <c r="D60" s="56"/>
      <c r="E60" s="56"/>
      <c r="F60" s="57"/>
      <c r="G60" s="63">
        <f>(G54+G55-G56)*(1+'Fane 14. Nøgletal'!C14)</f>
        <v>56136936.80274792</v>
      </c>
      <c r="H60" s="14" t="s">
        <v>3</v>
      </c>
      <c r="I60" s="1"/>
    </row>
    <row r="61" spans="1:9" x14ac:dyDescent="0.25">
      <c r="A61" s="1"/>
      <c r="B61" s="55" t="s">
        <v>237</v>
      </c>
      <c r="C61" s="56"/>
      <c r="D61" s="56"/>
      <c r="E61" s="56"/>
      <c r="F61" s="57"/>
      <c r="G61" s="63">
        <v>0</v>
      </c>
      <c r="H61" s="14" t="s">
        <v>3</v>
      </c>
      <c r="I61" s="1"/>
    </row>
    <row r="62" spans="1:9" x14ac:dyDescent="0.25">
      <c r="A62" s="1"/>
      <c r="B62" s="55" t="s">
        <v>238</v>
      </c>
      <c r="C62" s="56"/>
      <c r="D62" s="56"/>
      <c r="E62" s="56"/>
      <c r="F62" s="57"/>
      <c r="G62" s="63">
        <f>(G60+G61)*'Fane 14. Nøgletal'!C29</f>
        <v>1122738.7360549585</v>
      </c>
      <c r="H62" s="14" t="s">
        <v>3</v>
      </c>
      <c r="I62" s="1"/>
    </row>
    <row r="63" spans="1:9" x14ac:dyDescent="0.25">
      <c r="A63" s="1"/>
      <c r="B63" s="34"/>
      <c r="C63" s="35"/>
      <c r="D63" s="35"/>
      <c r="E63" s="35"/>
      <c r="F63" s="35"/>
      <c r="G63" s="35"/>
      <c r="H63" s="20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</sheetData>
  <sheetProtection algorithmName="SHA-512" hashValue="DbqVksNgDWx1HkLAuBoBKFk484si+ezjQ1IgdM6elY7qTY5FWcgRyVC3YcTGdSGjSbnWZac+RqzaW/B27eUnKg==" saltValue="8ksvte1Vj2EhZThkOHJuBA==" spinCount="100000" sheet="1" objects="1" scenarios="1"/>
  <mergeCells count="39">
    <mergeCell ref="B18:H18"/>
    <mergeCell ref="B24:H24"/>
    <mergeCell ref="B32:F32"/>
    <mergeCell ref="B14:F14"/>
    <mergeCell ref="B15:F15"/>
    <mergeCell ref="B19:F19"/>
    <mergeCell ref="B20:F20"/>
    <mergeCell ref="B31:H31"/>
    <mergeCell ref="B21:F21"/>
    <mergeCell ref="B25:F25"/>
    <mergeCell ref="B27:F27"/>
    <mergeCell ref="B1:H3"/>
    <mergeCell ref="B4:H4"/>
    <mergeCell ref="B5:F5"/>
    <mergeCell ref="B7:F7"/>
    <mergeCell ref="B11:F11"/>
    <mergeCell ref="B10:H10"/>
    <mergeCell ref="B6:F6"/>
    <mergeCell ref="B56:F56"/>
    <mergeCell ref="B12:F12"/>
    <mergeCell ref="B28:F28"/>
    <mergeCell ref="B36:F36"/>
    <mergeCell ref="B45:H45"/>
    <mergeCell ref="B46:F46"/>
    <mergeCell ref="B49:F49"/>
    <mergeCell ref="B48:F48"/>
    <mergeCell ref="B39:H39"/>
    <mergeCell ref="B42:F42"/>
    <mergeCell ref="B40:F40"/>
    <mergeCell ref="B13:F13"/>
    <mergeCell ref="B35:F35"/>
    <mergeCell ref="B26:F26"/>
    <mergeCell ref="B33:F33"/>
    <mergeCell ref="B34:F34"/>
    <mergeCell ref="B41:F41"/>
    <mergeCell ref="B47:F47"/>
    <mergeCell ref="B53:H53"/>
    <mergeCell ref="B54:F54"/>
    <mergeCell ref="B55:F5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62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1.7109375" style="2" bestFit="1" customWidth="1"/>
    <col min="8" max="8" width="7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 x14ac:dyDescent="0.25">
      <c r="A2" s="1"/>
      <c r="B2" s="118" t="s">
        <v>120</v>
      </c>
      <c r="C2" s="118"/>
      <c r="D2" s="118"/>
      <c r="E2" s="118"/>
      <c r="F2" s="118"/>
      <c r="G2" s="118"/>
      <c r="H2" s="118"/>
      <c r="I2" s="1"/>
    </row>
    <row r="3" spans="1:9" ht="28.5" customHeight="1" x14ac:dyDescent="0.25">
      <c r="A3" s="1"/>
      <c r="B3" s="118"/>
      <c r="C3" s="118"/>
      <c r="D3" s="118"/>
      <c r="E3" s="118"/>
      <c r="F3" s="118"/>
      <c r="G3" s="118"/>
      <c r="H3" s="118"/>
      <c r="I3" s="1"/>
    </row>
    <row r="4" spans="1:9" x14ac:dyDescent="0.25">
      <c r="A4" s="1"/>
      <c r="B4" s="112" t="s">
        <v>246</v>
      </c>
      <c r="C4" s="113"/>
      <c r="D4" s="113"/>
      <c r="E4" s="113"/>
      <c r="F4" s="113"/>
      <c r="G4" s="113"/>
      <c r="H4" s="114"/>
      <c r="I4" s="1"/>
    </row>
    <row r="5" spans="1:9" x14ac:dyDescent="0.25">
      <c r="A5" s="1"/>
      <c r="B5" s="106" t="s">
        <v>247</v>
      </c>
      <c r="C5" s="107"/>
      <c r="D5" s="107"/>
      <c r="E5" s="107"/>
      <c r="F5" s="108"/>
      <c r="G5" s="63">
        <v>97813106</v>
      </c>
      <c r="H5" s="14" t="s">
        <v>3</v>
      </c>
      <c r="I5" s="1"/>
    </row>
    <row r="6" spans="1:9" x14ac:dyDescent="0.25">
      <c r="A6" s="1"/>
      <c r="B6" s="106" t="s">
        <v>239</v>
      </c>
      <c r="C6" s="107"/>
      <c r="D6" s="107"/>
      <c r="E6" s="107"/>
      <c r="F6" s="108"/>
      <c r="G6" s="63">
        <f>G5*'Fane 14. Nøgletal'!C19</f>
        <v>890099.26459999999</v>
      </c>
      <c r="H6" s="14" t="s">
        <v>3</v>
      </c>
      <c r="I6" s="1"/>
    </row>
    <row r="7" spans="1:9" x14ac:dyDescent="0.25">
      <c r="A7" s="1"/>
      <c r="B7" s="34"/>
      <c r="C7" s="35"/>
      <c r="D7" s="35"/>
      <c r="E7" s="35"/>
      <c r="F7" s="35"/>
      <c r="G7" s="35"/>
      <c r="H7" s="20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12" t="s">
        <v>59</v>
      </c>
      <c r="C9" s="113"/>
      <c r="D9" s="113"/>
      <c r="E9" s="113"/>
      <c r="F9" s="113"/>
      <c r="G9" s="113"/>
      <c r="H9" s="114"/>
      <c r="I9" s="1"/>
    </row>
    <row r="10" spans="1:9" x14ac:dyDescent="0.25">
      <c r="A10" s="1"/>
      <c r="B10" s="106" t="s">
        <v>248</v>
      </c>
      <c r="C10" s="107"/>
      <c r="D10" s="107"/>
      <c r="E10" s="107"/>
      <c r="F10" s="108"/>
      <c r="G10" s="63">
        <f>(G5-G6)*(1+'Fane 14. Nøgletal'!C10)</f>
        <v>98619159.353269517</v>
      </c>
      <c r="H10" s="14" t="s">
        <v>3</v>
      </c>
      <c r="I10" s="1"/>
    </row>
    <row r="11" spans="1:9" x14ac:dyDescent="0.25">
      <c r="A11" s="1"/>
      <c r="B11" s="106" t="s">
        <v>134</v>
      </c>
      <c r="C11" s="107"/>
      <c r="D11" s="107"/>
      <c r="E11" s="107"/>
      <c r="F11" s="108"/>
      <c r="G11" s="63">
        <v>414012.72391671623</v>
      </c>
      <c r="H11" s="14" t="s">
        <v>3</v>
      </c>
      <c r="I11" s="1"/>
    </row>
    <row r="12" spans="1:9" x14ac:dyDescent="0.25">
      <c r="A12" s="1"/>
      <c r="B12" s="117" t="s">
        <v>249</v>
      </c>
      <c r="C12" s="110"/>
      <c r="D12" s="110"/>
      <c r="E12" s="110"/>
      <c r="F12" s="111"/>
      <c r="G12" s="63">
        <v>0</v>
      </c>
      <c r="H12" s="14" t="s">
        <v>3</v>
      </c>
      <c r="I12" s="1"/>
    </row>
    <row r="13" spans="1:9" x14ac:dyDescent="0.25">
      <c r="A13" s="1"/>
      <c r="B13" s="106" t="s">
        <v>60</v>
      </c>
      <c r="C13" s="107"/>
      <c r="D13" s="107"/>
      <c r="E13" s="107"/>
      <c r="F13" s="108"/>
      <c r="G13" s="63">
        <f>SUM(G10:G12)*'Fane 14. Nøgletal'!C20</f>
        <v>1752887.1457661963</v>
      </c>
      <c r="H13" s="14" t="s">
        <v>3</v>
      </c>
      <c r="I13" s="1"/>
    </row>
    <row r="14" spans="1:9" x14ac:dyDescent="0.25">
      <c r="A14" s="1"/>
      <c r="B14" s="34"/>
      <c r="C14" s="35"/>
      <c r="D14" s="35"/>
      <c r="E14" s="35"/>
      <c r="F14" s="35"/>
      <c r="G14" s="35"/>
      <c r="H14" s="20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12" t="s">
        <v>61</v>
      </c>
      <c r="C16" s="113"/>
      <c r="D16" s="113"/>
      <c r="E16" s="113"/>
      <c r="F16" s="113"/>
      <c r="G16" s="113"/>
      <c r="H16" s="114"/>
      <c r="I16" s="1"/>
    </row>
    <row r="17" spans="1:9" x14ac:dyDescent="0.25">
      <c r="A17" s="1"/>
      <c r="B17" s="106" t="s">
        <v>62</v>
      </c>
      <c r="C17" s="107"/>
      <c r="D17" s="107"/>
      <c r="E17" s="107"/>
      <c r="F17" s="108"/>
      <c r="G17" s="63">
        <f>(G10+G11+G12-G13)*(1+'Fane 14. Nøgletal'!C10)</f>
        <v>98982689.917719886</v>
      </c>
      <c r="H17" s="14" t="s">
        <v>3</v>
      </c>
      <c r="I17" s="1"/>
    </row>
    <row r="18" spans="1:9" x14ac:dyDescent="0.25">
      <c r="A18" s="1"/>
      <c r="B18" s="117" t="s">
        <v>63</v>
      </c>
      <c r="C18" s="110"/>
      <c r="D18" s="110"/>
      <c r="E18" s="110"/>
      <c r="F18" s="111"/>
      <c r="G18" s="63">
        <v>173273.45298281996</v>
      </c>
      <c r="H18" s="14" t="s">
        <v>3</v>
      </c>
      <c r="I18" s="1"/>
    </row>
    <row r="19" spans="1:9" x14ac:dyDescent="0.25">
      <c r="A19" s="1"/>
      <c r="B19" s="106" t="s">
        <v>64</v>
      </c>
      <c r="C19" s="107"/>
      <c r="D19" s="107"/>
      <c r="E19" s="107"/>
      <c r="F19" s="108"/>
      <c r="G19" s="63">
        <f>G17*'Fane 14. Nøgletal'!C20+G18*'Fane 14. Nøgletal'!C21</f>
        <v>1753501.0905845927</v>
      </c>
      <c r="H19" s="14" t="s">
        <v>3</v>
      </c>
      <c r="I19" s="1"/>
    </row>
    <row r="20" spans="1:9" x14ac:dyDescent="0.25">
      <c r="A20" s="1"/>
      <c r="B20" s="34"/>
      <c r="C20" s="35"/>
      <c r="D20" s="35"/>
      <c r="E20" s="35"/>
      <c r="F20" s="35"/>
      <c r="G20" s="35"/>
      <c r="H20" s="20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12" t="s">
        <v>222</v>
      </c>
      <c r="C22" s="113"/>
      <c r="D22" s="113"/>
      <c r="E22" s="113"/>
      <c r="F22" s="113"/>
      <c r="G22" s="113"/>
      <c r="H22" s="114"/>
      <c r="I22" s="1"/>
    </row>
    <row r="23" spans="1:9" x14ac:dyDescent="0.25">
      <c r="A23" s="1"/>
      <c r="B23" s="106" t="s">
        <v>65</v>
      </c>
      <c r="C23" s="107"/>
      <c r="D23" s="107"/>
      <c r="E23" s="107"/>
      <c r="F23" s="108"/>
      <c r="G23" s="63">
        <f>G17*(1-'Fane 14. Nøgletal'!C20)*(1+'Fane 14. Nøgletal'!C10)+G18*(1-'Fane 14. Nøgletal'!C21)*(1+'Fane 14. Nøgletal'!C11)</f>
        <v>99106902.310435832</v>
      </c>
      <c r="H23" s="14" t="s">
        <v>3</v>
      </c>
      <c r="I23" s="1"/>
    </row>
    <row r="24" spans="1:9" x14ac:dyDescent="0.25">
      <c r="A24" s="1"/>
      <c r="B24" s="109" t="s">
        <v>250</v>
      </c>
      <c r="C24" s="110"/>
      <c r="D24" s="110"/>
      <c r="E24" s="110"/>
      <c r="F24" s="111"/>
      <c r="G24" s="63">
        <f>G18*(1-'Fane 14. Nøgletal'!C21)*(1+'Fane 14. Nøgletal'!C11)</f>
        <v>174668.81890148701</v>
      </c>
      <c r="H24" s="14" t="s">
        <v>3</v>
      </c>
      <c r="I24" s="1"/>
    </row>
    <row r="25" spans="1:9" x14ac:dyDescent="0.25">
      <c r="A25" s="1"/>
      <c r="B25" s="117" t="s">
        <v>66</v>
      </c>
      <c r="C25" s="110"/>
      <c r="D25" s="110"/>
      <c r="E25" s="110"/>
      <c r="F25" s="111"/>
      <c r="G25" s="63">
        <v>4494422.3451035488</v>
      </c>
      <c r="H25" s="14" t="s">
        <v>3</v>
      </c>
      <c r="I25" s="1"/>
    </row>
    <row r="26" spans="1:9" x14ac:dyDescent="0.25">
      <c r="A26" s="1"/>
      <c r="B26" s="106" t="s">
        <v>67</v>
      </c>
      <c r="C26" s="107"/>
      <c r="D26" s="107"/>
      <c r="E26" s="107"/>
      <c r="F26" s="108"/>
      <c r="G26" s="63">
        <f>(G23-G24)*'Fane 14. Nøgletal'!C21+G24*'Fane 14. Nøgletal'!C22+G25*'Fane 14. Nøgletal'!C23</f>
        <v>989267.64032349852</v>
      </c>
      <c r="H26" s="14" t="s">
        <v>3</v>
      </c>
      <c r="I26" s="1"/>
    </row>
    <row r="27" spans="1:9" x14ac:dyDescent="0.25">
      <c r="A27" s="1"/>
      <c r="B27" s="34"/>
      <c r="C27" s="35"/>
      <c r="D27" s="35"/>
      <c r="E27" s="35"/>
      <c r="F27" s="35"/>
      <c r="G27" s="35"/>
      <c r="H27" s="20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12" t="s">
        <v>68</v>
      </c>
      <c r="C29" s="113"/>
      <c r="D29" s="113"/>
      <c r="E29" s="113"/>
      <c r="F29" s="113"/>
      <c r="G29" s="113"/>
      <c r="H29" s="114"/>
      <c r="I29" s="1"/>
    </row>
    <row r="30" spans="1:9" x14ac:dyDescent="0.25">
      <c r="A30" s="1"/>
      <c r="B30" s="106" t="s">
        <v>69</v>
      </c>
      <c r="C30" s="107"/>
      <c r="D30" s="107"/>
      <c r="E30" s="107"/>
      <c r="F30" s="108"/>
      <c r="G30" s="63">
        <f>(G23-G24)*(1-'Fane 14. Nøgletal'!C20)*(1+'Fane 14. Nøgletal'!C10)+G24*(1-'Fane 14. Nøgletal'!C21)*(1+'Fane 14. Nøgletal'!C11)+G25*(1-'Fane 14. Nøgletal'!C22)*(1+'Fane 14. Nøgletal'!C12)</f>
        <v>103510684.53845957</v>
      </c>
      <c r="H30" s="14" t="s">
        <v>3</v>
      </c>
      <c r="I30" s="1"/>
    </row>
    <row r="31" spans="1:9" x14ac:dyDescent="0.25">
      <c r="A31" s="1"/>
      <c r="B31" s="109" t="s">
        <v>251</v>
      </c>
      <c r="C31" s="110"/>
      <c r="D31" s="110"/>
      <c r="E31" s="110"/>
      <c r="F31" s="111"/>
      <c r="G31" s="63">
        <f>G24*(1-'Fane 14. Nøgletal'!C21)*(1+'Fane 14. Nøgletal'!C11)</f>
        <v>176075.42166003611</v>
      </c>
      <c r="H31" s="14" t="s">
        <v>3</v>
      </c>
      <c r="I31" s="1"/>
    </row>
    <row r="32" spans="1:9" x14ac:dyDescent="0.25">
      <c r="A32" s="1"/>
      <c r="B32" s="109" t="s">
        <v>129</v>
      </c>
      <c r="C32" s="110"/>
      <c r="D32" s="110"/>
      <c r="E32" s="110"/>
      <c r="F32" s="111"/>
      <c r="G32" s="63">
        <f>G25*(1-'Fane 14. Nøgletal'!C22)*(1+'Fane 14. Nøgletal'!C12)</f>
        <v>4452806.3312875098</v>
      </c>
      <c r="H32" s="14" t="s">
        <v>3</v>
      </c>
      <c r="I32" s="1"/>
    </row>
    <row r="33" spans="1:9" x14ac:dyDescent="0.25">
      <c r="A33" s="1"/>
      <c r="B33" s="106" t="s">
        <v>164</v>
      </c>
      <c r="C33" s="107"/>
      <c r="D33" s="107"/>
      <c r="E33" s="107"/>
      <c r="F33" s="108"/>
      <c r="G33" s="63">
        <v>1673990.88324804</v>
      </c>
      <c r="H33" s="14" t="s">
        <v>3</v>
      </c>
      <c r="I33" s="1"/>
    </row>
    <row r="34" spans="1:9" x14ac:dyDescent="0.25">
      <c r="A34" s="1"/>
      <c r="B34" s="106" t="s">
        <v>70</v>
      </c>
      <c r="C34" s="107"/>
      <c r="D34" s="107"/>
      <c r="E34" s="107"/>
      <c r="F34" s="108"/>
      <c r="G34" s="63">
        <f>(G30-SUM(G31:G32))*'Fane 14. Nøgletal'!C20+G31*'Fane 14. Nøgletal'!C21+G32*'Fane 14. Nøgletal'!C22+G33*'Fane 14. Nøgletal'!C23</f>
        <v>1924234.2145698916</v>
      </c>
      <c r="H34" s="14" t="s">
        <v>3</v>
      </c>
      <c r="I34" s="1"/>
    </row>
    <row r="35" spans="1:9" x14ac:dyDescent="0.25">
      <c r="A35" s="1"/>
      <c r="B35" s="34"/>
      <c r="C35" s="35"/>
      <c r="D35" s="35"/>
      <c r="E35" s="35"/>
      <c r="F35" s="35"/>
      <c r="G35" s="35"/>
      <c r="H35" s="20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12" t="s">
        <v>192</v>
      </c>
      <c r="C37" s="113"/>
      <c r="D37" s="113"/>
      <c r="E37" s="113"/>
      <c r="F37" s="113"/>
      <c r="G37" s="113"/>
      <c r="H37" s="114"/>
      <c r="I37" s="1"/>
    </row>
    <row r="38" spans="1:9" x14ac:dyDescent="0.25">
      <c r="A38" s="1"/>
      <c r="B38" s="106" t="s">
        <v>252</v>
      </c>
      <c r="C38" s="107"/>
      <c r="D38" s="107"/>
      <c r="E38" s="107"/>
      <c r="F38" s="108"/>
      <c r="G38" s="63">
        <f>(SUM(G30,G33)-G34)*(1+'Fane 14. Nøgletal'!C14)</f>
        <v>103601200.66312128</v>
      </c>
      <c r="H38" s="14" t="s">
        <v>3</v>
      </c>
      <c r="I38" s="1"/>
    </row>
    <row r="39" spans="1:9" x14ac:dyDescent="0.25">
      <c r="A39" s="1"/>
      <c r="B39" s="106" t="s">
        <v>193</v>
      </c>
      <c r="C39" s="107"/>
      <c r="D39" s="107"/>
      <c r="E39" s="107"/>
      <c r="F39" s="108"/>
      <c r="G39" s="63">
        <f>SUM('Fane 2.1. Økonomisk ramme 2022'!C11,'Fane 2.1. Økonomisk ramme 2022'!C13,'Fane 2.1. Økonomisk ramme 2022'!C15)*(1+'Fane 14. Nøgletal'!C14)</f>
        <v>1256820.1324837401</v>
      </c>
      <c r="H39" s="14" t="s">
        <v>3</v>
      </c>
      <c r="I39" s="1"/>
    </row>
    <row r="40" spans="1:9" x14ac:dyDescent="0.25">
      <c r="A40" s="1"/>
      <c r="B40" s="106" t="s">
        <v>194</v>
      </c>
      <c r="C40" s="107"/>
      <c r="D40" s="107"/>
      <c r="E40" s="107"/>
      <c r="F40" s="108"/>
      <c r="G40" s="63">
        <f>(G38+G39)*'Fane 14. Nøgletal'!C24</f>
        <v>1551898.7077749544</v>
      </c>
      <c r="H40" s="14" t="s">
        <v>3</v>
      </c>
      <c r="I40" s="1"/>
    </row>
    <row r="41" spans="1:9" x14ac:dyDescent="0.25">
      <c r="A41" s="1"/>
      <c r="B41" s="34"/>
      <c r="C41" s="35"/>
      <c r="D41" s="35"/>
      <c r="E41" s="35"/>
      <c r="F41" s="35"/>
      <c r="G41" s="35"/>
      <c r="H41" s="20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12" t="s">
        <v>253</v>
      </c>
      <c r="C43" s="113"/>
      <c r="D43" s="113"/>
      <c r="E43" s="113"/>
      <c r="F43" s="113"/>
      <c r="G43" s="113"/>
      <c r="H43" s="114"/>
      <c r="I43" s="1"/>
    </row>
    <row r="44" spans="1:9" x14ac:dyDescent="0.25">
      <c r="A44" s="1"/>
      <c r="B44" s="106" t="s">
        <v>71</v>
      </c>
      <c r="C44" s="107"/>
      <c r="D44" s="107"/>
      <c r="E44" s="107"/>
      <c r="F44" s="108"/>
      <c r="G44" s="63">
        <f>(G38+G39-G40)*(1+'Fane 14. Nøgletal'!C14)</f>
        <v>103647032.29071991</v>
      </c>
      <c r="H44" s="14" t="s">
        <v>3</v>
      </c>
      <c r="I44" s="1"/>
    </row>
    <row r="45" spans="1:9" x14ac:dyDescent="0.25">
      <c r="A45" s="1"/>
      <c r="B45" s="109" t="s">
        <v>260</v>
      </c>
      <c r="C45" s="110"/>
      <c r="D45" s="110"/>
      <c r="E45" s="110"/>
      <c r="F45" s="111"/>
      <c r="G45" s="63">
        <f>G39*(1+'Fane 14. Nøgletal'!C14)</f>
        <v>1260967.6389209365</v>
      </c>
      <c r="H45" s="14" t="s">
        <v>3</v>
      </c>
      <c r="I45" s="1"/>
    </row>
    <row r="46" spans="1:9" x14ac:dyDescent="0.25">
      <c r="A46" s="1"/>
      <c r="B46" s="106" t="s">
        <v>85</v>
      </c>
      <c r="C46" s="107"/>
      <c r="D46" s="107"/>
      <c r="E46" s="107"/>
      <c r="F46" s="108"/>
      <c r="G46" s="63">
        <v>0</v>
      </c>
      <c r="H46" s="14" t="s">
        <v>3</v>
      </c>
      <c r="I46" s="1"/>
    </row>
    <row r="47" spans="1:9" x14ac:dyDescent="0.25">
      <c r="A47" s="1"/>
      <c r="B47" s="106" t="s">
        <v>259</v>
      </c>
      <c r="C47" s="107"/>
      <c r="D47" s="107"/>
      <c r="E47" s="107"/>
      <c r="F47" s="108"/>
      <c r="G47" s="63">
        <f>(G44+G46)*'Fane 14. Nøgletal'!C24</f>
        <v>1533976.0779026547</v>
      </c>
      <c r="H47" s="14" t="s">
        <v>3</v>
      </c>
      <c r="I47" s="1"/>
    </row>
    <row r="48" spans="1:9" x14ac:dyDescent="0.25">
      <c r="A48" s="1"/>
      <c r="B48" s="34"/>
      <c r="C48" s="35"/>
      <c r="D48" s="35"/>
      <c r="E48" s="35"/>
      <c r="F48" s="35"/>
      <c r="G48" s="35"/>
      <c r="H48" s="20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12" t="s">
        <v>165</v>
      </c>
      <c r="C51" s="113"/>
      <c r="D51" s="113"/>
      <c r="E51" s="113"/>
      <c r="F51" s="113"/>
      <c r="G51" s="113"/>
      <c r="H51" s="114"/>
      <c r="I51" s="1"/>
    </row>
    <row r="52" spans="1:9" x14ac:dyDescent="0.25">
      <c r="A52" s="1"/>
      <c r="B52" s="106" t="s">
        <v>166</v>
      </c>
      <c r="C52" s="107"/>
      <c r="D52" s="107"/>
      <c r="E52" s="107"/>
      <c r="F52" s="108"/>
      <c r="G52" s="63">
        <f>(G44+G46-G47)*(1+'Fane 14. Nøgletal'!C14)</f>
        <v>102450029.29831956</v>
      </c>
      <c r="H52" s="14" t="s">
        <v>3</v>
      </c>
      <c r="I52" s="1"/>
    </row>
    <row r="53" spans="1:9" x14ac:dyDescent="0.25">
      <c r="A53" s="1"/>
      <c r="B53" s="106" t="s">
        <v>167</v>
      </c>
      <c r="C53" s="107"/>
      <c r="D53" s="107"/>
      <c r="E53" s="107"/>
      <c r="F53" s="108"/>
      <c r="G53" s="63">
        <v>0</v>
      </c>
      <c r="H53" s="14" t="s">
        <v>3</v>
      </c>
      <c r="I53" s="1"/>
    </row>
    <row r="54" spans="1:9" x14ac:dyDescent="0.25">
      <c r="A54" s="1"/>
      <c r="B54" s="106" t="s">
        <v>168</v>
      </c>
      <c r="C54" s="107"/>
      <c r="D54" s="107"/>
      <c r="E54" s="107"/>
      <c r="F54" s="108"/>
      <c r="G54" s="63">
        <f>(G52+G53)*'Fane 14. Nøgletal'!C24</f>
        <v>1516260.4336151297</v>
      </c>
      <c r="H54" s="14" t="s">
        <v>3</v>
      </c>
      <c r="I54" s="1"/>
    </row>
    <row r="55" spans="1:9" x14ac:dyDescent="0.25">
      <c r="A55" s="1"/>
      <c r="B55" s="34"/>
      <c r="C55" s="35"/>
      <c r="D55" s="35"/>
      <c r="E55" s="35"/>
      <c r="F55" s="35"/>
      <c r="G55" s="35"/>
      <c r="H55" s="20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12" t="s">
        <v>225</v>
      </c>
      <c r="C57" s="113"/>
      <c r="D57" s="113"/>
      <c r="E57" s="113"/>
      <c r="F57" s="113"/>
      <c r="G57" s="113"/>
      <c r="H57" s="114"/>
      <c r="I57" s="1"/>
    </row>
    <row r="58" spans="1:9" x14ac:dyDescent="0.25">
      <c r="A58" s="1"/>
      <c r="B58" s="106" t="s">
        <v>166</v>
      </c>
      <c r="C58" s="107"/>
      <c r="D58" s="107"/>
      <c r="E58" s="107"/>
      <c r="F58" s="108"/>
      <c r="G58" s="63">
        <f>(G52+G53-G54)*(1+'Fane 14. Nøgletal'!C14)</f>
        <v>101266850.30195796</v>
      </c>
      <c r="H58" s="14" t="s">
        <v>3</v>
      </c>
      <c r="I58" s="1"/>
    </row>
    <row r="59" spans="1:9" x14ac:dyDescent="0.25">
      <c r="A59" s="1"/>
      <c r="B59" s="106" t="s">
        <v>254</v>
      </c>
      <c r="C59" s="107"/>
      <c r="D59" s="107"/>
      <c r="E59" s="107"/>
      <c r="F59" s="108"/>
      <c r="G59" s="63">
        <v>0</v>
      </c>
      <c r="H59" s="14" t="s">
        <v>3</v>
      </c>
      <c r="I59" s="1"/>
    </row>
    <row r="60" spans="1:9" x14ac:dyDescent="0.25">
      <c r="A60" s="1"/>
      <c r="B60" s="106" t="s">
        <v>255</v>
      </c>
      <c r="C60" s="107"/>
      <c r="D60" s="107"/>
      <c r="E60" s="107"/>
      <c r="F60" s="108"/>
      <c r="G60" s="63">
        <f>(G58+G59)*'Fane 14. Nøgletal'!C24</f>
        <v>1498749.384468978</v>
      </c>
      <c r="H60" s="14" t="s">
        <v>3</v>
      </c>
      <c r="I60" s="1"/>
    </row>
    <row r="61" spans="1:9" x14ac:dyDescent="0.25">
      <c r="A61" s="1"/>
      <c r="B61" s="34"/>
      <c r="C61" s="35"/>
      <c r="D61" s="35"/>
      <c r="E61" s="35"/>
      <c r="F61" s="35"/>
      <c r="G61" s="35"/>
      <c r="H61" s="20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</sheetData>
  <sheetProtection algorithmName="SHA-512" hashValue="iY0IFP77O6s6PWmwNWYFnm5pjy1OPujslJgrM2/MZjJF0cdP1fbRhs+v2MQVViKIt+Gb8RRv8EG7eu/5rDxGsg==" saltValue="703TKY/gRYJGm2r42uzaeQ==" spinCount="100000" sheet="1" objects="1" scenarios="1"/>
  <mergeCells count="41">
    <mergeCell ref="B2:H3"/>
    <mergeCell ref="B19:F19"/>
    <mergeCell ref="B4:H4"/>
    <mergeCell ref="B5:F5"/>
    <mergeCell ref="B6:F6"/>
    <mergeCell ref="B9:H9"/>
    <mergeCell ref="B11:F11"/>
    <mergeCell ref="B10:F10"/>
    <mergeCell ref="B12:F12"/>
    <mergeCell ref="B13:F13"/>
    <mergeCell ref="B17:F17"/>
    <mergeCell ref="B40:F40"/>
    <mergeCell ref="B43:H43"/>
    <mergeCell ref="B24:F24"/>
    <mergeCell ref="B29:H29"/>
    <mergeCell ref="B30:F30"/>
    <mergeCell ref="B34:F34"/>
    <mergeCell ref="B37:H37"/>
    <mergeCell ref="B33:F33"/>
    <mergeCell ref="B22:H22"/>
    <mergeCell ref="B16:H16"/>
    <mergeCell ref="B18:F18"/>
    <mergeCell ref="B23:F23"/>
    <mergeCell ref="B39:F39"/>
    <mergeCell ref="B31:F31"/>
    <mergeCell ref="B32:F32"/>
    <mergeCell ref="B38:F38"/>
    <mergeCell ref="B25:F25"/>
    <mergeCell ref="B26:F26"/>
    <mergeCell ref="B57:H57"/>
    <mergeCell ref="B44:F44"/>
    <mergeCell ref="B58:F58"/>
    <mergeCell ref="B59:F59"/>
    <mergeCell ref="B60:F60"/>
    <mergeCell ref="B45:F45"/>
    <mergeCell ref="B46:F46"/>
    <mergeCell ref="B53:F53"/>
    <mergeCell ref="B52:F52"/>
    <mergeCell ref="B54:F54"/>
    <mergeCell ref="B51:H51"/>
    <mergeCell ref="B47:F4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2" t="s">
        <v>80</v>
      </c>
      <c r="C3" s="82"/>
      <c r="D3" s="82"/>
      <c r="E3" s="82"/>
      <c r="F3" s="82"/>
      <c r="G3" s="82"/>
      <c r="H3" s="82"/>
      <c r="I3" s="1"/>
    </row>
    <row r="4" spans="1:9" ht="15" customHeight="1" x14ac:dyDescent="0.25">
      <c r="A4" s="1"/>
      <c r="B4" s="82"/>
      <c r="C4" s="82"/>
      <c r="D4" s="82"/>
      <c r="E4" s="82"/>
      <c r="F4" s="82"/>
      <c r="G4" s="82"/>
      <c r="H4" s="8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12" t="s">
        <v>10</v>
      </c>
      <c r="C8" s="113"/>
      <c r="D8" s="113"/>
      <c r="E8" s="113"/>
      <c r="F8" s="113"/>
      <c r="G8" s="113"/>
      <c r="H8" s="114"/>
      <c r="I8" s="1"/>
    </row>
    <row r="9" spans="1:9" x14ac:dyDescent="0.25">
      <c r="A9" s="1"/>
      <c r="B9" s="106" t="s">
        <v>261</v>
      </c>
      <c r="C9" s="107"/>
      <c r="D9" s="107"/>
      <c r="E9" s="107"/>
      <c r="F9" s="108"/>
      <c r="G9" s="23">
        <v>3.7196206470608722E-3</v>
      </c>
      <c r="H9" s="14"/>
      <c r="I9" s="1"/>
    </row>
    <row r="10" spans="1:9" x14ac:dyDescent="0.25">
      <c r="A10" s="1"/>
      <c r="B10" s="106" t="s">
        <v>105</v>
      </c>
      <c r="C10" s="107"/>
      <c r="D10" s="107"/>
      <c r="E10" s="107"/>
      <c r="F10" s="108"/>
      <c r="G10" s="23">
        <v>0</v>
      </c>
      <c r="H10" s="14"/>
      <c r="I10" s="1"/>
    </row>
    <row r="11" spans="1:9" x14ac:dyDescent="0.25">
      <c r="A11" s="1"/>
      <c r="B11" s="106" t="s">
        <v>195</v>
      </c>
      <c r="C11" s="107"/>
      <c r="D11" s="107"/>
      <c r="E11" s="107"/>
      <c r="F11" s="108"/>
      <c r="G11" s="23">
        <v>1.7241604003127048E-2</v>
      </c>
      <c r="H11" s="14"/>
      <c r="I11" s="1"/>
    </row>
    <row r="12" spans="1:9" x14ac:dyDescent="0.25">
      <c r="A12" s="1"/>
      <c r="B12" s="34"/>
      <c r="C12" s="35"/>
      <c r="D12" s="35"/>
      <c r="E12" s="35"/>
      <c r="F12" s="35"/>
      <c r="G12" s="35"/>
      <c r="H12" s="20"/>
      <c r="I12" s="1"/>
    </row>
    <row r="13" spans="1:9" ht="40.5" customHeight="1" x14ac:dyDescent="0.25">
      <c r="A13" s="1"/>
      <c r="B13" s="119" t="s">
        <v>196</v>
      </c>
      <c r="C13" s="119"/>
      <c r="D13" s="119"/>
      <c r="E13" s="119"/>
      <c r="F13" s="119"/>
      <c r="G13" s="119"/>
      <c r="H13" s="119"/>
      <c r="I13" s="1"/>
    </row>
    <row r="14" spans="1:9" ht="30.75" customHeight="1" x14ac:dyDescent="0.25">
      <c r="A14" s="18"/>
      <c r="B14" s="1"/>
      <c r="C14" s="1"/>
      <c r="D14" s="1"/>
      <c r="E14" s="1"/>
      <c r="F14" s="1"/>
      <c r="G14" s="1"/>
      <c r="H14" s="1"/>
      <c r="I14" s="18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lF7iP7teSnqzmw2O+SXqMfdloMqTNPej+cBNEopGuubspjLUnHPFnKD/gFlll6cFX8xgELkQ6mWY1M1OEQw7cQ==" saltValue="XOseVfgD9uMBlFbLvCAKUw==" spinCount="100000" sheet="1" objects="1" scenarios="1"/>
  <mergeCells count="6">
    <mergeCell ref="B3:H4"/>
    <mergeCell ref="B13:H13"/>
    <mergeCell ref="B8:H8"/>
    <mergeCell ref="B10:F10"/>
    <mergeCell ref="B11:F11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2022</vt:lpstr>
      <vt:lpstr>Fane 2.2. Økonomisk ramme 2023</vt:lpstr>
      <vt:lpstr>Fane 2.3. Økonomisk ramme 2024</vt:lpstr>
      <vt:lpstr>Fane 2.4. Økonomisk ramme 2025</vt:lpstr>
      <vt:lpstr>Fane 3. Omkostninger i ØR2021</vt:lpstr>
      <vt:lpstr>Fane 4.1. Gen. krav - drift</vt:lpstr>
      <vt:lpstr>Fane 4.2. Gen. krav - anlæg</vt:lpstr>
      <vt:lpstr>Fane 5. Individuelt eff. krav</vt:lpstr>
      <vt:lpstr>Fane 6. Ikke-påvirkelige omk.</vt:lpstr>
      <vt:lpstr>Fane 7. Kontrol af ØR2020</vt:lpstr>
      <vt:lpstr>Fane 8. Korrektion af ØR2020</vt:lpstr>
      <vt:lpstr>Fane 9. Anlægsprojekter</vt:lpstr>
      <vt:lpstr>Fane 10.1. Varige tillæg</vt:lpstr>
      <vt:lpstr>Fane 10.2. Engangstillæg</vt:lpstr>
      <vt:lpstr>Fane 11. Periodevise driftsomk.</vt:lpstr>
      <vt:lpstr>Fane 12. Tilknyttet virksomhed</vt:lpstr>
      <vt:lpstr>Fane 13. Bortfald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Christina Cramer Calonius Hoffgaard</cp:lastModifiedBy>
  <cp:lastPrinted>2016-06-14T12:57:30Z</cp:lastPrinted>
  <dcterms:created xsi:type="dcterms:W3CDTF">2016-06-02T08:51:18Z</dcterms:created>
  <dcterms:modified xsi:type="dcterms:W3CDTF">2021-10-14T14:22:45Z</dcterms:modified>
</cp:coreProperties>
</file>