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IKAST-BRANDE SPILDEVAND AS (S05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F24" i="11" l="1"/>
  <c r="G24" i="11"/>
  <c r="E24" i="11"/>
  <c r="E10" i="11"/>
  <c r="E32" i="32" l="1"/>
  <c r="E16" i="40" l="1"/>
  <c r="E12" i="40"/>
  <c r="E26" i="32" l="1"/>
  <c r="E34" i="32" s="1"/>
  <c r="C26" i="15" l="1"/>
  <c r="C30" i="2"/>
  <c r="C15" i="19"/>
  <c r="E12" i="11" l="1"/>
  <c r="E13" i="11"/>
  <c r="E14" i="11"/>
  <c r="E15" i="11"/>
  <c r="E16" i="11"/>
  <c r="E17" i="11"/>
  <c r="E18" i="11"/>
  <c r="E19" i="11"/>
  <c r="E20" i="11"/>
  <c r="E21" i="11"/>
  <c r="E22" i="11"/>
  <c r="E23" i="11"/>
  <c r="E28" i="20" l="1"/>
  <c r="E22" i="20"/>
  <c r="E16" i="20"/>
  <c r="E10" i="20"/>
  <c r="E11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C10" i="37"/>
  <c r="C14" i="37" s="1"/>
  <c r="C15" i="37" s="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0" i="37"/>
  <c r="E14" i="37" s="1"/>
  <c r="E15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<sst xmlns="http://schemas.openxmlformats.org/spreadsheetml/2006/main" count="753" uniqueCount="298">
  <si>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</si>
  <si>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</si>
  <si>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</si>
  <si>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</si>
  <si>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</si>
  <si>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</si>
  <si>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</si>
  <si>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</si>
  <si>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</si>
  <si>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</si>
  <si>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</si>
  <si>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</si>
  <si>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</si>
  <si>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</si>
  <si>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</si>
  <si>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</si>
  <si>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</si>
  <si>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</si>
  <si>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</si>
  <si>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</si>
  <si>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</si>
  <si>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</si>
  <si>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</si>
  <si>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</si>
  <si>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</si>
  <si>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</si>
  <si>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</si>
  <si>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</si>
  <si>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</si>
  <si>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</si>
  <si>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</si>
  <si>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</si>
  <si>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</si>
  <si>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</si>
  <si>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</si>
  <si>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</si>
  <si>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</si>
  <si>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</si>
  <si>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</si>
  <si>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</si>
  <si>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</si>
  <si>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</si>
  <si>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</si>
  <si>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</si>
  <si>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</si>
  <si>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</si>
  <si>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</si>
  <si>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</si>
  <si>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</si>
  <si>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</si>
  <si>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</si>
  <si>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</si>
  <si>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</si>
  <si>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</si>
  <si>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</si>
  <si>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</si>
  <si>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</si>
  <si>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</si>
  <si>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</si>
  <si>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</si>
  <si>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</si>
  <si>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</si>
  <si>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</si>
  <si>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</si>
  <si>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</si>
  <si>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</si>
  <si>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</si>
  <si>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</si>
  <si>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</si>
  <si>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</si>
  <si>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</si>
  <si>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</si>
  <si>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</si>
  <si>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</si>
  <si>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</si>
  <si>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</si>
  <si>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</si>
  <si>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</si>
  <si>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</si>
  <si>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</si>
  <si>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</si>
  <si>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</si>
  <si>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</si>
  <si>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</si>
  <si>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</si>
  <si>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</si>
  <si>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</si>
  <si>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</si>
  <si>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</si>
  <si>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</si>
  <si>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</si>
  <si>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</si>
  <si>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</si>
  <si>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</si>
  <si>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</si>
  <si>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</si>
  <si>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</si>
  <si>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</si>
  <si>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</si>
  <si>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</si>
  <si>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</si>
  <si>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</si>
  <si>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</si>
  <si>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</si>
  <si>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</si>
  <si>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</si>
  <si>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</si>
  <si>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</si>
  <si>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</si>
  <si>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</si>
  <si>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</si>
  <si>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</si>
  <si>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</si>
  <si>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</si>
  <si>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</si>
  <si>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</si>
  <si>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</si>
  <si>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</si>
  <si>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</si>
  <si>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</si>
  <si>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</si>
  <si>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</si>
  <si>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</si>
  <si>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</si>
  <si>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</si>
  <si>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</si>
  <si>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</si>
  <si>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</si>
  <si>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</si>
  <si>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</si>
  <si>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</si>
  <si>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</si>
  <si>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</si>
  <si>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</si>
  <si>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</si>
  <si>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</si>
  <si>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</si>
  <si>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</si>
  <si>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</si>
  <si>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</si>
  <si>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</si>
  <si>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</si>
  <si>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</si>
  <si>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</si>
  <si>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</si>
  <si>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</si>
  <si>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</si>
  <si>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</si>
  <si>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</si>
  <si>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</si>
  <si>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</si>
  <si>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</si>
  <si>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</si>
  <si>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</si>
  <si>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</si>
  <si>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</si>
  <si>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</si>
  <si>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</si>
  <si>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</si>
  <si>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</si>
  <si>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</si>
  <si>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</si>
  <si>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</si>
  <si>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</si>
  <si>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</si>
  <si>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</si>
  <si>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</si>
  <si>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</si>
  <si>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</si>
  <si>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</si>
  <si>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</si>
  <si>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</si>
  <si>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</si>
  <si>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</si>
  <si>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</si>
  <si>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</si>
  <si>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</si>
  <si>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</si>
  <si>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</si>
  <si>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</si>
  <si>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</si>
  <si>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</si>
  <si>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</si>
  <si>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</si>
  <si>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</si>
  <si>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</si>
  <si>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</si>
  <si>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</si>
  <si>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</si>
  <si>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</si>
  <si>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</si>
  <si>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</si>
  <si>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</si>
  <si>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</si>
  <si>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</si>
  <si>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</si>
  <si>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</si>
  <si>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</si>
  <si>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</si>
  <si>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</si>
  <si>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</si>
  <si>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</si>
  <si>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</si>
  <si>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</si>
  <si>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</si>
  <si>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</si>
  <si>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</si>
  <si>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</si>
  <si>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</si>
  <si>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</si>
  <si>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</si>
  <si>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</si>
  <si>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</si>
  <si>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</si>
  <si>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</si>
  <si>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</si>
  <si>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</si>
  <si>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</si>
  <si>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</si>
  <si>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</si>
  <si>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</si>
  <si>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</si>
  <si>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</si>
  <si>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</si>
  <si>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</si>
  <si>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</si>
  <si>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</si>
  <si>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</si>
  <si>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</si>
  <si>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</si>
  <si>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</si>
  <si>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</si>
  <si>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</si>
  <si>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</si>
  <si>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</si>
  <si>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</si>
  <si>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</si>
  <si>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</si>
  <si>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</si>
  <si>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</si>
  <si>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</si>
  <si>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</si>
  <si>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</si>
  <si>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</si>
  <si>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</si>
  <si>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</si>
  <si>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</si>
  <si>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</si>
  <si>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</si>
  <si>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</si>
  <si>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</si>
  <si>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</si>
  <si>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</si>
  <si>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</si>
  <si>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</si>
  <si>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</si>
  <si>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</si>
  <si>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</si>
  <si>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</si>
  <si>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</si>
  <si>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</si>
  <si>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Ledningsnet ≤ Ø 200 mm</t>
  </si>
  <si>
    <t>75</t>
  </si>
  <si>
    <t>Ø 200 mm &lt; Ledningsnet ≤ Ø 500 mm</t>
  </si>
  <si>
    <t>Brønde</t>
  </si>
  <si>
    <t>Kælder (&lt; 7 m2)</t>
  </si>
  <si>
    <t>Strømpeforing ≤ Ø 200 mm</t>
  </si>
  <si>
    <t>50</t>
  </si>
  <si>
    <t>Ø 500 mm &lt; Ledningsnet ≤ Ø 800 mm</t>
  </si>
  <si>
    <t>Ø 800 mm &lt; Ledningsnet ≤ Ø 1000 mm</t>
  </si>
  <si>
    <t>Flytning af regnvandsbassin v/Finsensvej</t>
  </si>
  <si>
    <t>Ingen tilknyttet virksomhed</t>
  </si>
  <si>
    <t>Separatkloakering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</si>
  <si>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</si>
  <si>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</si>
  <si>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</si>
  <si>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</si>
  <si>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</si>
  <si>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</si>
  <si>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</si>
  <si>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</si>
  <si>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</si>
  <si>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</si>
  <si>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</si>
  <si>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</si>
  <si>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</si>
  <si>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</si>
  <si>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</si>
  <si>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</si>
  <si>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</si>
  <si>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</si>
  <si>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</si>
  <si>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</si>
  <si>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</si>
  <si>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</si>
  <si>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Til økonomiske rammer for 2022 og 2023</t>
  </si>
  <si>
    <t>Kontrol med overholdelse af den økonomiske ramme</t>
  </si>
  <si>
    <t>Ø 1000 mm &lt; Ledningsnet ≤ Ø 1200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</si>
</sst>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0" borderId="1" xfId="0" applyNumberFormat="1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295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i2WXEAtVgmieVd14CayR2slDIFTt0dDnqn1KJmqaoqiPvYNUzM6/Z7i7nHA6SU4dGijHCM4turU6X4xTSHYRA==" saltValue="RLJ2+U5mFrIr0fdJLUiOR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5" t="s">
        <v>273</v>
      </c>
      <c r="C10" s="9">
        <v>1232037</v>
      </c>
      <c r="D10" s="14" t="s">
        <v>3</v>
      </c>
      <c r="E10" s="1"/>
      <c r="F10" s="1"/>
    </row>
    <row r="11" spans="1:6" ht="15" customHeight="1" x14ac:dyDescent="0.25">
      <c r="A11" s="1"/>
      <c r="B11" s="65" t="s">
        <v>274</v>
      </c>
      <c r="C11" s="9">
        <v>75206</v>
      </c>
      <c r="D11" s="14" t="s">
        <v>3</v>
      </c>
      <c r="E11" s="1"/>
      <c r="F11" s="1"/>
    </row>
    <row r="12" spans="1:6" x14ac:dyDescent="0.25">
      <c r="A12" s="1"/>
      <c r="B12" s="65" t="s">
        <v>275</v>
      </c>
      <c r="C12" s="9">
        <v>227047</v>
      </c>
      <c r="D12" s="14" t="s">
        <v>3</v>
      </c>
      <c r="E12" s="1"/>
      <c r="F12" s="1"/>
    </row>
    <row r="13" spans="1:6" x14ac:dyDescent="0.25">
      <c r="A13" s="1"/>
      <c r="B13" s="65" t="s">
        <v>276</v>
      </c>
      <c r="C13" s="9">
        <v>93025</v>
      </c>
      <c r="D13" s="14" t="s">
        <v>3</v>
      </c>
      <c r="E13" s="1"/>
      <c r="F13" s="1"/>
    </row>
    <row r="14" spans="1:6" x14ac:dyDescent="0.25">
      <c r="A14" s="1"/>
      <c r="B14" s="65" t="s">
        <v>277</v>
      </c>
      <c r="C14" s="9">
        <v>106077.58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1733392.58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1744851.8476731966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5" t="s">
        <v>142</v>
      </c>
      <c r="C19" s="96"/>
      <c r="D19" s="97"/>
      <c r="E19" s="1"/>
      <c r="F19" s="1"/>
    </row>
    <row r="20" spans="1:6" x14ac:dyDescent="0.25">
      <c r="A20" s="1"/>
      <c r="B20" s="65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5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5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5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5"/>
      <c r="C24" s="96"/>
      <c r="D24" s="97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5" t="s">
        <v>115</v>
      </c>
      <c r="C27" s="96"/>
      <c r="D27" s="97"/>
      <c r="E27" s="1"/>
      <c r="F27" s="1"/>
    </row>
    <row r="28" spans="1:6" x14ac:dyDescent="0.25">
      <c r="A28" s="1"/>
      <c r="B28" s="65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5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5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5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5"/>
      <c r="C32" s="96"/>
      <c r="D32" s="97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YMHk+iWj1sAu4l+zAcVzmvpo2fDRYwoqWJA7mKVjMR/6Sg0fNZf9pvyM82Saar9ENy0kUkdCwFFCZSqSJuaUuQ==" saltValue="YiHQXfjUjs6g6b8HuCSSm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279</v>
      </c>
      <c r="C8" s="96"/>
      <c r="D8" s="96"/>
      <c r="E8" s="96"/>
      <c r="F8" s="97"/>
      <c r="G8" s="1"/>
    </row>
    <row r="9" spans="1:7" x14ac:dyDescent="0.25">
      <c r="A9" s="1"/>
      <c r="B9" s="104" t="s">
        <v>280</v>
      </c>
      <c r="C9" s="105"/>
      <c r="D9" s="106"/>
      <c r="E9" s="9">
        <v>22177987.342766389</v>
      </c>
      <c r="F9" s="14" t="s">
        <v>3</v>
      </c>
      <c r="G9" s="1"/>
    </row>
    <row r="10" spans="1:7" x14ac:dyDescent="0.25">
      <c r="A10" s="1"/>
      <c r="B10" s="104" t="s">
        <v>281</v>
      </c>
      <c r="C10" s="105"/>
      <c r="D10" s="106"/>
      <c r="E10" s="9">
        <v>7800723.6932420731</v>
      </c>
      <c r="F10" s="14" t="s">
        <v>3</v>
      </c>
      <c r="G10" s="1"/>
    </row>
    <row r="11" spans="1:7" x14ac:dyDescent="0.25">
      <c r="A11" s="1"/>
      <c r="B11" s="104" t="s">
        <v>282</v>
      </c>
      <c r="C11" s="105"/>
      <c r="D11" s="106"/>
      <c r="E11" s="9">
        <v>7800723.6932420731</v>
      </c>
      <c r="F11" s="14" t="s">
        <v>3</v>
      </c>
      <c r="G11" s="1"/>
    </row>
    <row r="12" spans="1:7" x14ac:dyDescent="0.25">
      <c r="A12" s="1"/>
      <c r="B12" s="104" t="s">
        <v>283</v>
      </c>
      <c r="C12" s="105"/>
      <c r="D12" s="106"/>
      <c r="E12" s="9">
        <v>2445981.7885210514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284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285</v>
      </c>
      <c r="C16" s="96"/>
      <c r="D16" s="96"/>
      <c r="E16" s="96"/>
      <c r="F16" s="97"/>
      <c r="G16" s="1"/>
    </row>
    <row r="17" spans="1:7" x14ac:dyDescent="0.25">
      <c r="A17" s="1"/>
      <c r="B17" s="104" t="s">
        <v>286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287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288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213</v>
      </c>
      <c r="C22" s="58"/>
      <c r="D22" s="58"/>
      <c r="E22" s="58"/>
      <c r="F22" s="59"/>
      <c r="G22" s="1"/>
    </row>
    <row r="23" spans="1:7" x14ac:dyDescent="0.25">
      <c r="A23" s="1"/>
      <c r="B23" s="62" t="s">
        <v>214</v>
      </c>
      <c r="C23" s="63"/>
      <c r="D23" s="64"/>
      <c r="E23" s="9">
        <v>71225146.612446442</v>
      </c>
      <c r="F23" s="14" t="s">
        <v>3</v>
      </c>
      <c r="G23" s="1"/>
    </row>
    <row r="24" spans="1:7" x14ac:dyDescent="0.25">
      <c r="A24" s="1"/>
      <c r="B24" s="62" t="s">
        <v>215</v>
      </c>
      <c r="C24" s="63"/>
      <c r="D24" s="64"/>
      <c r="E24" s="9">
        <v>73220159</v>
      </c>
      <c r="F24" s="14" t="s">
        <v>3</v>
      </c>
      <c r="G24" s="1"/>
    </row>
    <row r="25" spans="1:7" x14ac:dyDescent="0.25">
      <c r="A25" s="1"/>
      <c r="B25" s="62" t="s">
        <v>36</v>
      </c>
      <c r="C25" s="63"/>
      <c r="D25" s="64"/>
      <c r="E25" s="9">
        <v>470000</v>
      </c>
      <c r="F25" s="14" t="s">
        <v>3</v>
      </c>
      <c r="G25" s="1"/>
    </row>
    <row r="26" spans="1:7" x14ac:dyDescent="0.25">
      <c r="A26" s="1"/>
      <c r="B26" s="60" t="s">
        <v>289</v>
      </c>
      <c r="C26" s="61"/>
      <c r="D26" s="67"/>
      <c r="E26" s="48">
        <f>E23-(E24-E25)</f>
        <v>-1525012.3875535578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20" t="s">
        <v>294</v>
      </c>
      <c r="C31" s="121"/>
      <c r="D31" s="122"/>
      <c r="E31" s="9">
        <v>3</v>
      </c>
      <c r="F31" s="14"/>
      <c r="G31" s="1"/>
    </row>
    <row r="32" spans="1:7" x14ac:dyDescent="0.2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2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25">
      <c r="A35" s="1"/>
      <c r="B35" s="117"/>
      <c r="C35" s="118"/>
      <c r="D35" s="118"/>
      <c r="E35" s="118"/>
      <c r="F35" s="119"/>
      <c r="G35" s="1"/>
    </row>
    <row r="36" spans="1:7" ht="75" customHeight="1" x14ac:dyDescent="0.25">
      <c r="A36" s="1"/>
      <c r="B36" s="98" t="s">
        <v>293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yUOUsei+7AQMihghTOqcRgNOwzsl6NSmQfn+dIsMiYHXb1h1+Yk6ygcESG4UGtiDondlFEn++05rb+2Mm/uUw==" saltValue="OVAwrOmt3a5dtZGqSRph2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407366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-407366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-407366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2DrFefj1zJSZsUHfQXaJAtqEPMGp1BRzYTDtGY8/8a23Xt3xdijOtlr6qFUTXeoWVbfYhz9Er67tVC9TrB4JQ==" saltValue="lJmA6rVuMqvzui+8byvPX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ht="26.25" x14ac:dyDescent="0.25">
      <c r="A10" s="1"/>
      <c r="B10" s="68" t="s">
        <v>297</v>
      </c>
      <c r="C10" s="51">
        <v>75</v>
      </c>
      <c r="D10" s="9">
        <v>549072</v>
      </c>
      <c r="E10" s="9">
        <f>IFERROR(D10/C10,0)</f>
        <v>7320.96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68" t="s">
        <v>261</v>
      </c>
      <c r="C11" s="49" t="s">
        <v>262</v>
      </c>
      <c r="D11" s="9">
        <v>270382</v>
      </c>
      <c r="E11" s="9">
        <f>IFERROR(D11/C11,0)</f>
        <v>3605.0933333333332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68" t="s">
        <v>263</v>
      </c>
      <c r="C12" s="49" t="s">
        <v>262</v>
      </c>
      <c r="D12" s="9">
        <v>241419</v>
      </c>
      <c r="E12" s="9">
        <f t="shared" ref="E12:E23" si="0">IFERROR(D12/C12,0)</f>
        <v>3218.92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68" t="s">
        <v>264</v>
      </c>
      <c r="C13" s="49" t="s">
        <v>262</v>
      </c>
      <c r="D13" s="9">
        <v>108010</v>
      </c>
      <c r="E13" s="9">
        <f t="shared" si="0"/>
        <v>1440.1333333333334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68" t="s">
        <v>265</v>
      </c>
      <c r="C14" s="49" t="s">
        <v>262</v>
      </c>
      <c r="D14" s="9">
        <v>75188</v>
      </c>
      <c r="E14" s="9">
        <f t="shared" si="0"/>
        <v>1002.5066666666667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68" t="s">
        <v>261</v>
      </c>
      <c r="C15" s="49" t="s">
        <v>262</v>
      </c>
      <c r="D15" s="9">
        <v>654087</v>
      </c>
      <c r="E15" s="9">
        <f t="shared" si="0"/>
        <v>8721.16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68" t="s">
        <v>263</v>
      </c>
      <c r="C16" s="49" t="s">
        <v>262</v>
      </c>
      <c r="D16" s="9">
        <v>781631</v>
      </c>
      <c r="E16" s="9">
        <f t="shared" si="0"/>
        <v>10421.746666666666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68" t="s">
        <v>264</v>
      </c>
      <c r="C17" s="49" t="s">
        <v>262</v>
      </c>
      <c r="D17" s="9">
        <v>210969</v>
      </c>
      <c r="E17" s="9">
        <f t="shared" si="0"/>
        <v>2812.92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68" t="s">
        <v>266</v>
      </c>
      <c r="C18" s="49" t="s">
        <v>267</v>
      </c>
      <c r="D18" s="9">
        <v>57190</v>
      </c>
      <c r="E18" s="9">
        <f t="shared" si="0"/>
        <v>1143.8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68" t="s">
        <v>261</v>
      </c>
      <c r="C19" s="49" t="s">
        <v>262</v>
      </c>
      <c r="D19" s="9">
        <v>1998447</v>
      </c>
      <c r="E19" s="9">
        <f t="shared" si="0"/>
        <v>26645.96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68" t="s">
        <v>263</v>
      </c>
      <c r="C20" s="49" t="s">
        <v>262</v>
      </c>
      <c r="D20" s="9">
        <v>1990247</v>
      </c>
      <c r="E20" s="9">
        <f t="shared" si="0"/>
        <v>26536.626666666667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68" t="s">
        <v>268</v>
      </c>
      <c r="C21" s="49" t="s">
        <v>262</v>
      </c>
      <c r="D21" s="9">
        <v>1365012</v>
      </c>
      <c r="E21" s="9">
        <f t="shared" si="0"/>
        <v>18200.16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68" t="s">
        <v>269</v>
      </c>
      <c r="C22" s="49" t="s">
        <v>262</v>
      </c>
      <c r="D22" s="9">
        <v>1306811</v>
      </c>
      <c r="E22" s="9">
        <f t="shared" si="0"/>
        <v>17424.146666666667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68" t="s">
        <v>264</v>
      </c>
      <c r="C23" s="49" t="s">
        <v>262</v>
      </c>
      <c r="D23" s="9">
        <v>2179533</v>
      </c>
      <c r="E23" s="9">
        <f t="shared" si="0"/>
        <v>29060.44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95" t="s">
        <v>179</v>
      </c>
      <c r="C24" s="96"/>
      <c r="D24" s="97"/>
      <c r="E24" s="12">
        <f>SUM(E10:E23)</f>
        <v>157554.57333333333</v>
      </c>
      <c r="F24" s="12">
        <f>SUM(F10:F23)</f>
        <v>0</v>
      </c>
      <c r="G24" s="12">
        <f>SUM(G10:G23)</f>
        <v>0</v>
      </c>
      <c r="H24" s="13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algorithmName="SHA-512" hashValue="5eUR9KrmbhEQoKDMWu3S4Dkqjv8i+6uwG+XXEM2am9zNomV2gbliY9cJJbJnK6dLw1TU/lLzCCcpHa5RQGcyvw==" saltValue="W6ECumR2aRM7Y5mE6egoRQ==" spinCount="100000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Anlægsprojekter'!F24</f>
        <v>0</v>
      </c>
      <c r="D10" s="14" t="s">
        <v>3</v>
      </c>
      <c r="E10" s="9">
        <f>SUM('Fane 9. Anlægsprojekter'!E24,'Fane 9. Anlægsprojekter'!G24)</f>
        <v>157554.57333333333</v>
      </c>
      <c r="F10" s="14" t="s">
        <v>3</v>
      </c>
      <c r="G10" s="1"/>
    </row>
    <row r="11" spans="1:7" x14ac:dyDescent="0.25">
      <c r="A11" s="1"/>
      <c r="B11" s="47" t="s">
        <v>272</v>
      </c>
      <c r="C11" s="22">
        <v>199500</v>
      </c>
      <c r="D11" s="14" t="s">
        <v>3</v>
      </c>
      <c r="E11" s="9">
        <v>360168</v>
      </c>
      <c r="F11" s="14" t="s">
        <v>3</v>
      </c>
      <c r="G11" s="1"/>
    </row>
    <row r="12" spans="1:7" x14ac:dyDescent="0.25">
      <c r="A12" s="1"/>
      <c r="B12" s="47" t="s">
        <v>270</v>
      </c>
      <c r="C12" s="22">
        <v>0</v>
      </c>
      <c r="D12" s="14" t="s">
        <v>3</v>
      </c>
      <c r="E12" s="9">
        <v>5149</v>
      </c>
      <c r="F12" s="14" t="s">
        <v>3</v>
      </c>
      <c r="G12" s="1"/>
    </row>
    <row r="13" spans="1:7" x14ac:dyDescent="0.25">
      <c r="A13" s="1"/>
      <c r="B13" s="25" t="s">
        <v>291</v>
      </c>
      <c r="C13" s="22">
        <v>118000</v>
      </c>
      <c r="D13" s="14" t="s">
        <v>3</v>
      </c>
      <c r="E13" s="9">
        <v>102661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317500</v>
      </c>
      <c r="D14" s="13" t="s">
        <v>3</v>
      </c>
      <c r="E14" s="12">
        <f>SUM(E10:E13)</f>
        <v>625532.57333333336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318547.75</v>
      </c>
      <c r="D15" s="13" t="s">
        <v>3</v>
      </c>
      <c r="E15" s="12">
        <f>E14*(1+'Fane 14. Nøgletal'!C14)</f>
        <v>627596.83082533337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XNcpLA+rslN8CnGg8V0FbS93EAcEuRd7WGflXNtVF9KInqb2NsdJUad03EEyNQnywuDc5B3PoQQ7DgeHZYWY3Q==" saltValue="bdskaC/usfQfWzM0aB6Ml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292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5" t="s">
        <v>18</v>
      </c>
      <c r="C17" s="55" t="s">
        <v>12</v>
      </c>
      <c r="D17" s="56"/>
      <c r="E17" s="55" t="s">
        <v>34</v>
      </c>
      <c r="F17" s="37"/>
      <c r="G17" s="1"/>
    </row>
    <row r="18" spans="1:7" x14ac:dyDescent="0.25">
      <c r="A18" s="1"/>
      <c r="B18" s="25" t="s">
        <v>292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5" t="s">
        <v>18</v>
      </c>
      <c r="C25" s="55" t="s">
        <v>12</v>
      </c>
      <c r="D25" s="56"/>
      <c r="E25" s="55" t="s">
        <v>34</v>
      </c>
      <c r="F25" s="37"/>
      <c r="G25" s="1"/>
    </row>
    <row r="26" spans="1:7" x14ac:dyDescent="0.25">
      <c r="A26" s="1"/>
      <c r="B26" s="25" t="s">
        <v>292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5" t="s">
        <v>18</v>
      </c>
      <c r="C33" s="55" t="s">
        <v>12</v>
      </c>
      <c r="D33" s="56"/>
      <c r="E33" s="55" t="s">
        <v>34</v>
      </c>
      <c r="F33" s="37"/>
      <c r="G33" s="1"/>
    </row>
    <row r="34" spans="1:7" x14ac:dyDescent="0.25">
      <c r="A34" s="1"/>
      <c r="B34" s="25" t="s">
        <v>292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Arit89Hy2LOU/feZRq6ClYZOz9yb0pxvxbsMSC2ALnlNrqjcfn+PBHyTr02+H9HXNG1l2iaeILifKJ8gi7EsQ==" saltValue="R+eBrYyDqySH/2sRM50h0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106847.87628296926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-412.21939422342871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-2136.9575256593853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104988.20659171889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106847.87628296926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-412.21939422342871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-2136.9575256593853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105334.66767347157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106847.87628296926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-412.21939422342871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-2136.9575256593853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105682.27207679405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106847.87628296926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-412.21939422342871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-2136.9575256593853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106031.02357464748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1oXH2EJO81mICY4y6qSGHzufQZy9Rpgf8HK0rxpVJOU8VNB7jA3IAUxjopKm/JAyYJdkiKvSRxl9zeURjzYYQ==" saltValue="cINbtxGvP354lLYfSJHwW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TsmZFzIF/Csadg/kr5nBddO9w9TBATaZcuDzAOazyKNjM/AdEwhNjaC6ChUAMtvi3LQ4f1arZsUduY3GaK325g==" saltValue="WNG40uhhWpFbDeixhbm4J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6V0O53ity4TifZ3P6UrKiQ1F5BFJAwQK26urZfd+SmsniigR3OCa36KUbGjjJI4WRYIjG2yYfqC26Cl14ph0Q==" saltValue="/ETS4A8U5zmpZFfZTO9U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5" t="s">
        <v>137</v>
      </c>
      <c r="C9" s="26">
        <v>1.2699999999999999E-2</v>
      </c>
      <c r="D9" s="1"/>
    </row>
    <row r="10" spans="1:4" x14ac:dyDescent="0.25">
      <c r="A10" s="1"/>
      <c r="B10" s="65" t="s">
        <v>138</v>
      </c>
      <c r="C10" s="26">
        <v>1.7500000000000002E-2</v>
      </c>
      <c r="D10" s="1"/>
    </row>
    <row r="11" spans="1:4" x14ac:dyDescent="0.25">
      <c r="A11" s="1"/>
      <c r="B11" s="65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5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5" t="s">
        <v>139</v>
      </c>
      <c r="C19" s="23">
        <v>9.1000000000000004E-3</v>
      </c>
      <c r="D19" s="1"/>
    </row>
    <row r="20" spans="1:4" x14ac:dyDescent="0.25">
      <c r="A20" s="1"/>
      <c r="B20" s="65" t="s">
        <v>190</v>
      </c>
      <c r="C20" s="23">
        <v>1.77E-2</v>
      </c>
      <c r="D20" s="1"/>
    </row>
    <row r="21" spans="1:4" x14ac:dyDescent="0.25">
      <c r="A21" s="1"/>
      <c r="B21" s="65" t="s">
        <v>191</v>
      </c>
      <c r="C21" s="23">
        <v>8.6999999999999994E-3</v>
      </c>
      <c r="D21" s="1"/>
    </row>
    <row r="22" spans="1:4" x14ac:dyDescent="0.25">
      <c r="A22" s="1"/>
      <c r="B22" s="65" t="s">
        <v>140</v>
      </c>
      <c r="C22" s="41">
        <v>2.8400000000000002E-2</v>
      </c>
      <c r="D22" s="1"/>
    </row>
    <row r="23" spans="1:4" x14ac:dyDescent="0.25">
      <c r="A23" s="1"/>
      <c r="B23" s="65" t="s">
        <v>192</v>
      </c>
      <c r="C23" s="41">
        <v>2.75E-2</v>
      </c>
      <c r="D23" s="1"/>
    </row>
    <row r="24" spans="1:4" x14ac:dyDescent="0.25">
      <c r="A24" s="1"/>
      <c r="B24" s="65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5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kwNFUv4/bdTbw10GwkZrIgnpTlP3seKV6zV36P731pxNUIIZtltigUCsmZv+dQfntkEp+3TyjEe/++EAf/gyww==" saltValue="WdiO5XqiMOwWCO41LVitq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66663963.604410745</v>
      </c>
      <c r="D9" s="8" t="s">
        <v>3</v>
      </c>
      <c r="E9" s="1"/>
    </row>
    <row r="10" spans="1:5" ht="17.100000000000001" customHeight="1" x14ac:dyDescent="0.25">
      <c r="A10" s="1"/>
      <c r="B10" s="54" t="s">
        <v>43</v>
      </c>
      <c r="C10" s="7">
        <f>'Fane 10.1. Varige tillæg'!C15</f>
        <v>318547.75</v>
      </c>
      <c r="D10" s="8" t="s">
        <v>3</v>
      </c>
      <c r="E10" s="1"/>
    </row>
    <row r="11" spans="1:5" ht="17.100000000000001" customHeight="1" x14ac:dyDescent="0.25">
      <c r="A11" s="1"/>
      <c r="B11" s="54" t="s">
        <v>44</v>
      </c>
      <c r="C11" s="9">
        <f>'Fane 10.1. Varige tillæg'!E15</f>
        <v>627596.83082533337</v>
      </c>
      <c r="D11" s="8" t="s">
        <v>3</v>
      </c>
      <c r="E11" s="1"/>
    </row>
    <row r="12" spans="1:5" ht="17.100000000000001" customHeight="1" x14ac:dyDescent="0.25">
      <c r="A12" s="1"/>
      <c r="B12" s="54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4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4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4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4" t="s">
        <v>20</v>
      </c>
      <c r="C16" s="9">
        <f>SUM(C9:C15)*'Fane 14. Nøgletal'!C14</f>
        <v>223113.35701127906</v>
      </c>
      <c r="D16" s="8" t="s">
        <v>3</v>
      </c>
      <c r="E16" s="1"/>
    </row>
    <row r="17" spans="1:5" ht="17.100000000000001" customHeight="1" x14ac:dyDescent="0.25">
      <c r="A17" s="1"/>
      <c r="B17" s="54" t="s">
        <v>10</v>
      </c>
      <c r="C17" s="9">
        <f>-SUM(C9:C16)*'Fane 5. Individuelt eff. krav'!G12</f>
        <v>-261700.7512467124</v>
      </c>
      <c r="D17" s="8" t="s">
        <v>3</v>
      </c>
      <c r="E17" s="1"/>
    </row>
    <row r="18" spans="1:5" ht="17.100000000000001" customHeight="1" x14ac:dyDescent="0.25">
      <c r="A18" s="1"/>
      <c r="B18" s="54" t="s">
        <v>26</v>
      </c>
      <c r="C18" s="9">
        <f>-'Fane 4.1. Gen. krav - drift'!G40</f>
        <v>-458345.06171698595</v>
      </c>
      <c r="D18" s="8" t="s">
        <v>3</v>
      </c>
      <c r="E18" s="1"/>
    </row>
    <row r="19" spans="1:5" ht="17.100000000000001" customHeight="1" x14ac:dyDescent="0.25">
      <c r="A19" s="1"/>
      <c r="B19" s="54" t="s">
        <v>27</v>
      </c>
      <c r="C19" s="9">
        <f>-'Fane 4.2. Gen. krav - anlæg'!G37</f>
        <v>-698665.28147818206</v>
      </c>
      <c r="D19" s="8" t="s">
        <v>3</v>
      </c>
      <c r="E19" s="1"/>
    </row>
    <row r="20" spans="1:5" ht="17.100000000000001" customHeight="1" x14ac:dyDescent="0.25">
      <c r="A20" s="1"/>
      <c r="B20" s="60" t="s">
        <v>22</v>
      </c>
      <c r="C20" s="10">
        <f>SUM(C9:C19)</f>
        <v>66414510.447805479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1744851.8476731966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0" t="s">
        <v>94</v>
      </c>
      <c r="C24" s="10">
        <f>'Fane 11. Periodevise driftsomk.'!E12</f>
        <v>104988.20659171889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4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4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0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-407366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6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67856984.502070397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KCyEMR7E8qQKIVh/aT3UGwaUwGjipW6x0s+AObVrZ9ccCsFM5NehRZI52ZI+/SdRCpcIoK+YaxfvwNc9VbC4g==" saltValue="UtNty1jTQR1TLqMHXw8sG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66414510.447805479</v>
      </c>
      <c r="D9" s="8" t="s">
        <v>3</v>
      </c>
      <c r="E9" s="1"/>
    </row>
    <row r="10" spans="1:5" ht="15" customHeight="1" x14ac:dyDescent="0.25">
      <c r="A10" s="1"/>
      <c r="B10" s="54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4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219167.88447775808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-257072.91031474387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-450660.44841223903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-690596.50792883558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65235348.465627417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1750609.8587705183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driftsomk.'!E18</f>
        <v>105334.66767347157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6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67091292.992071405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cIbZ1UbnVDJrS2zMWFYexkFTf31HBD+YM8EnaCD1l4LKXUk1Jw3BeaDPbippaKCAEE++96J+3IcpS+Pl7+Qujg==" saltValue="4J3NNXq/QMqVlTlXD1hw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65235348.465627417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215276.64993657047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-252508.68782108801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-443104.67533415946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-682620.91935420688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64072390.833054528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1756386.871304461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driftsomk.'!E24</f>
        <v>105682.27207679405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65934459.976435781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QU7sE/J4mwwZuT1PUmUhaXhvelYUGL6wUFCrA7lhdwvD2jOwFA/Sj3OlCPMsTnF87uFCKoQ/d8Zy5GrlVOmnw==" saltValue="9Kz80Gt16hENP1QnWuIp8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2"/>
      <c r="C6" s="52"/>
      <c r="D6" s="52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64072390.833054528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211438.88974907994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-248007.18805601465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-435675.58234750695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-674737.43957593222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62925409.512824155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1762182.9479797659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driftsomk.'!E30</f>
        <v>106031.02357464748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6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64793623.484378569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GAOznSSMpPht+UsYGCGb0g2QIXG5ykZOZQ3c0/V64+YDvYuqWN7Su2ZHAmZ9uIjZB/0usEHvjZNGrFXeOzHzA==" saltValue="Yo3BcCEhy8xDIwEj9VJr1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290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66861730.875764526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275399.37599999999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273327.40259999997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1323870.5649514811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-253974.14215702377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drift'!G34</f>
        <v>-459659.73772823752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-1356730.7350200077</v>
      </c>
      <c r="F19" s="8" t="s">
        <v>3</v>
      </c>
      <c r="G19" s="1"/>
    </row>
    <row r="20" spans="1:7" ht="15" customHeight="1" x14ac:dyDescent="0.25">
      <c r="A20" s="1"/>
      <c r="B20" s="60" t="s">
        <v>22</v>
      </c>
      <c r="C20" s="61"/>
      <c r="D20" s="67"/>
      <c r="E20" s="10">
        <f>SUM(E9:E19)</f>
        <v>66663963.604410745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3293443.4019372799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60" t="s">
        <v>94</v>
      </c>
      <c r="C24" s="43"/>
      <c r="D24" s="44"/>
      <c r="E24" s="10">
        <v>498001.56309618923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-407366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70048042.569444209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W8tKaydDAHJZE4jVfggDp2EygDqr4gN3SDXCN9MbFWGtViUT3Yy0Ya0NaOfVBkEC9IDNirqiwvF6Fv6eHJ8Ew==" saltValue="8axdQviHL5iMKP/YwJQC3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22792929.192677006</v>
      </c>
      <c r="H6" s="14" t="s">
        <v>3</v>
      </c>
      <c r="I6" s="1"/>
    </row>
    <row r="7" spans="1:9" x14ac:dyDescent="0.25">
      <c r="A7" s="1"/>
      <c r="B7" s="98" t="s">
        <v>145</v>
      </c>
      <c r="C7" s="99"/>
      <c r="D7" s="99"/>
      <c r="E7" s="99"/>
      <c r="F7" s="100"/>
      <c r="G7" s="24">
        <v>472818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465314.94385354011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22718347.498177879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-55321.868196651849</v>
      </c>
      <c r="H13" s="14" t="s">
        <v>3</v>
      </c>
      <c r="I13" s="1"/>
    </row>
    <row r="14" spans="1:9" x14ac:dyDescent="0.25">
      <c r="A14" s="1"/>
      <c r="B14" s="98" t="s">
        <v>143</v>
      </c>
      <c r="C14" s="99"/>
      <c r="D14" s="99"/>
      <c r="E14" s="99"/>
      <c r="F14" s="100"/>
      <c r="G14" s="24">
        <v>481091.29750000004</v>
      </c>
      <c r="H14" s="14" t="s">
        <v>3</v>
      </c>
      <c r="I14" s="1"/>
    </row>
    <row r="15" spans="1:9" x14ac:dyDescent="0.25">
      <c r="A15" s="1"/>
      <c r="B15" s="107" t="s">
        <v>48</v>
      </c>
      <c r="C15" s="108"/>
      <c r="D15" s="108"/>
      <c r="E15" s="108"/>
      <c r="F15" s="109"/>
      <c r="G15" s="9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462882.33854962455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22588645.799031656</v>
      </c>
      <c r="H20" s="14" t="s">
        <v>3</v>
      </c>
      <c r="I20" s="1"/>
    </row>
    <row r="21" spans="1:9" x14ac:dyDescent="0.25">
      <c r="A21" s="1"/>
      <c r="B21" s="107" t="s">
        <v>51</v>
      </c>
      <c r="C21" s="108"/>
      <c r="D21" s="108"/>
      <c r="E21" s="108"/>
      <c r="F21" s="109"/>
      <c r="G21" s="9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451772.91598063312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22572969.278847128</v>
      </c>
      <c r="H26" s="14" t="s">
        <v>3</v>
      </c>
      <c r="I26" s="1"/>
    </row>
    <row r="27" spans="1:9" x14ac:dyDescent="0.25">
      <c r="A27" s="1"/>
      <c r="B27" s="107" t="s">
        <v>54</v>
      </c>
      <c r="C27" s="108"/>
      <c r="D27" s="108"/>
      <c r="E27" s="108"/>
      <c r="F27" s="109"/>
      <c r="G27" s="24">
        <v>147026.03592600001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454399.90629546257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22704227.638024677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278759.2483872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459659.73772823752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22597654.128274295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319598.95757500001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458345.06171698595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22533022.420611952</v>
      </c>
      <c r="H44" s="14" t="s">
        <v>3</v>
      </c>
      <c r="I44" s="1"/>
    </row>
    <row r="45" spans="1:9" x14ac:dyDescent="0.25">
      <c r="A45" s="1"/>
      <c r="B45" s="110" t="s">
        <v>237</v>
      </c>
      <c r="C45" s="111"/>
      <c r="D45" s="111"/>
      <c r="E45" s="111"/>
      <c r="F45" s="112"/>
      <c r="G45" s="24">
        <f>G39*(1+'Fane 14. Nøgletal'!C14)</f>
        <v>320653.63413499756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450660.44841223903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22155233.766707972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443104.67533415946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7" t="s">
        <v>201</v>
      </c>
      <c r="C58" s="58"/>
      <c r="D58" s="58"/>
      <c r="E58" s="58"/>
      <c r="F58" s="58"/>
      <c r="G58" s="58"/>
      <c r="H58" s="59"/>
      <c r="I58" s="1"/>
    </row>
    <row r="59" spans="1:9" x14ac:dyDescent="0.25">
      <c r="A59" s="1"/>
      <c r="B59" s="62" t="s">
        <v>202</v>
      </c>
      <c r="C59" s="63"/>
      <c r="D59" s="63"/>
      <c r="E59" s="63"/>
      <c r="F59" s="64"/>
      <c r="G59" s="24">
        <f>(G53+G54-G55)*(1+'Fane 14. Nøgletal'!C14)</f>
        <v>21783779.117375348</v>
      </c>
      <c r="H59" s="14" t="s">
        <v>3</v>
      </c>
      <c r="I59" s="1"/>
    </row>
    <row r="60" spans="1:9" x14ac:dyDescent="0.25">
      <c r="A60" s="1"/>
      <c r="B60" s="62" t="s">
        <v>203</v>
      </c>
      <c r="C60" s="63"/>
      <c r="D60" s="63"/>
      <c r="E60" s="63"/>
      <c r="F60" s="64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2" t="s">
        <v>204</v>
      </c>
      <c r="C61" s="63"/>
      <c r="D61" s="63"/>
      <c r="E61" s="63"/>
      <c r="F61" s="64"/>
      <c r="G61" s="24">
        <f>(G59+G60)*'Fane 14. Nøgletal'!C29</f>
        <v>435675.58234750695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NXWf5rJAeEFJ6D22gVgb4V9nQHzyVSEiyXM2ikeh2iCBeC6sL3LZhCYbAVm3GiWjDBo7Bmq5hd/kR9sGKzuqCw==" saltValue="4f5hGvF5mYlZroPHoUHqkA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46913485.86690855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426912.72138886782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47300088.175566278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105245.71748111911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24">
        <v>1535.3591687500002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839101.58576422592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47382703.600614838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24">
        <v>193175.46463287994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840354.48027318867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47656214.41929853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24">
        <v>292076.25959146139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1361731.4552804758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47504314.440314621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276661.99691171997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1356730.7350200077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46577445.713023618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629667.90036705707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698665.28147818206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46661926.21140781</v>
      </c>
      <c r="H41" s="14" t="s">
        <v>3</v>
      </c>
      <c r="I41" s="1"/>
    </row>
    <row r="42" spans="1:9" x14ac:dyDescent="0.25">
      <c r="A42" s="1"/>
      <c r="B42" s="47" t="s">
        <v>242</v>
      </c>
      <c r="C42" s="63"/>
      <c r="D42" s="63"/>
      <c r="E42" s="63"/>
      <c r="F42" s="64"/>
      <c r="G42" s="24">
        <f>G36*(1+'Fane 14. Nøgletal'!C14)</f>
        <v>631745.80443826842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690596.50792883558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46123035.091500461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682620.91935420688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45590367.538914338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674737.43957593222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6crCf8VtGaYWC3aba+3LNiu/g4e+Q5hPBNc7pBZNTyr9a7MxoOhUtQuXqczpT8iok0d0s7M6YQBlvVo5zBzgTg==" saltValue="FuH1h4DRi5ahgBmYfkFde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7.9199737765736026E-3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8.1919969487005383E-3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3.695011630093315E-3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3.8580026909634832E-3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PacAr6NztAYmQKqEEJaujFJ/ojGy0HkgotyocSrmVLIX9n2/SWgpXKW/3Akcw3erSVq5IaU8YNjKm7a4Pwd1Q==" saltValue="071b02ueewCc4q8YRxmvm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2022-12-22T10:31:14Z</dcterms:modified>
</cp:coreProperties>
</file>