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ilkeborg Spildevand AS (S08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3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16" i="40" l="1"/>
  <c r="E12" i="40"/>
  <c r="C14" i="19" l="1"/>
  <c r="E18" i="27" l="1"/>
  <c r="G26" i="30" l="1"/>
  <c r="E29" i="32" l="1"/>
  <c r="E33" i="32" s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31" i="11" l="1"/>
  <c r="E32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22" i="39"/>
  <c r="C22" i="15" s="1"/>
  <c r="C38" i="39"/>
  <c r="C21" i="23" s="1"/>
  <c r="E22" i="39"/>
  <c r="C23" i="15" s="1"/>
  <c r="E30" i="39"/>
  <c r="C22" i="22" s="1"/>
  <c r="C23" i="22" s="1"/>
  <c r="E38" i="39"/>
  <c r="C22" i="23" s="1"/>
  <c r="E14" i="39"/>
  <c r="C31" i="2" s="1"/>
  <c r="C14" i="39"/>
  <c r="C30" i="2" s="1"/>
  <c r="C23" i="23" l="1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33" i="11"/>
  <c r="C10" i="37" s="1"/>
  <c r="C12" i="37" s="1"/>
  <c r="C13" i="37" s="1"/>
  <c r="C14" i="2" s="1"/>
  <c r="G33" i="11"/>
  <c r="E11" i="21" l="1"/>
  <c r="C11" i="21"/>
  <c r="E11" i="29"/>
  <c r="C11" i="29"/>
  <c r="C15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2" i="37" s="1"/>
  <c r="E13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<sst xmlns="http://schemas.openxmlformats.org/spreadsheetml/2006/main" count="766" uniqueCount="294">
  <si>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</si>
  <si>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</si>
  <si>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</si>
  <si>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</si>
  <si>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</si>
  <si>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</si>
  <si>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</si>
  <si>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</si>
  <si>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</si>
  <si>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</si>
  <si>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</si>
  <si>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</si>
  <si>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</si>
  <si>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</si>
  <si>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</si>
  <si>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</si>
  <si>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</si>
  <si>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</si>
  <si>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</si>
  <si>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</si>
  <si>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</si>
  <si>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</si>
  <si>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</si>
  <si>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</si>
  <si>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</si>
  <si>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</si>
  <si>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</si>
  <si>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</si>
  <si>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</si>
  <si>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</si>
  <si>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</si>
  <si>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</si>
  <si>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</si>
  <si>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</si>
  <si>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</si>
  <si>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</si>
  <si>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</si>
  <si>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</si>
  <si>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</si>
  <si>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</si>
  <si>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</si>
  <si>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</si>
  <si>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</si>
  <si>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</si>
  <si>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</si>
  <si>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</si>
  <si>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</si>
  <si>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</si>
  <si>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</si>
  <si>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</si>
  <si>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</si>
  <si>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</si>
  <si>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</si>
  <si>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</si>
  <si>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</si>
  <si>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</si>
  <si>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</si>
  <si>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</si>
  <si>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</si>
  <si>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</si>
  <si>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</si>
  <si>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</si>
  <si>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</si>
  <si>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</si>
  <si>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</si>
  <si>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</si>
  <si>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</si>
  <si>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</si>
  <si>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</si>
  <si>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</si>
  <si>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</si>
  <si>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</si>
  <si>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</si>
  <si>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</si>
  <si>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</si>
  <si>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</si>
  <si>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</si>
  <si>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</si>
  <si>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</si>
  <si>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</si>
  <si>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</si>
  <si>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</si>
  <si>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</si>
  <si>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</si>
  <si>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</si>
  <si>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</si>
  <si>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</si>
  <si>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</si>
  <si>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</si>
  <si>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</si>
  <si>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</si>
  <si>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</si>
  <si>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</si>
  <si>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</si>
  <si>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</si>
  <si>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</si>
  <si>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</si>
  <si>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</si>
  <si>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</si>
  <si>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</si>
  <si>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</si>
  <si>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</si>
  <si>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</si>
  <si>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</si>
  <si>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</si>
  <si>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</si>
  <si>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</si>
  <si>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</si>
  <si>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</si>
  <si>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</si>
  <si>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</si>
  <si>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</si>
  <si>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</si>
  <si>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</si>
  <si>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</si>
  <si>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</si>
  <si>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</si>
  <si>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</si>
  <si>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</si>
  <si>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</si>
  <si>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</si>
  <si>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</si>
  <si>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</si>
  <si>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</si>
  <si>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</si>
  <si>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</si>
  <si>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</si>
  <si>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</si>
  <si>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</si>
  <si>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</si>
  <si>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</si>
  <si>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</si>
  <si>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</si>
  <si>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</si>
  <si>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</si>
  <si>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</si>
  <si>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</si>
  <si>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</si>
  <si>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</si>
  <si>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</si>
  <si>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</si>
  <si>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</si>
  <si>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</si>
  <si>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</si>
  <si>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</si>
  <si>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</si>
  <si>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</si>
  <si>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</si>
  <si>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</si>
  <si>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</si>
  <si>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</si>
  <si>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</si>
  <si>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</si>
  <si>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</si>
  <si>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</si>
  <si>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</si>
  <si>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</si>
  <si>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</si>
  <si>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</si>
  <si>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</si>
  <si>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</si>
  <si>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</si>
  <si>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</si>
  <si>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</si>
  <si>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</si>
  <si>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</si>
  <si>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</si>
  <si>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</si>
  <si>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</si>
  <si>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</si>
  <si>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</si>
  <si>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</si>
  <si>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</si>
  <si>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</si>
  <si>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</si>
  <si>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</si>
  <si>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</si>
  <si>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</si>
  <si>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</si>
  <si>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</si>
  <si>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</si>
  <si>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</si>
  <si>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</si>
  <si>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</si>
  <si>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</si>
  <si>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</si>
  <si>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</si>
  <si>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</si>
  <si>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</si>
  <si>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</si>
  <si>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</si>
  <si>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</si>
  <si>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</si>
  <si>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</si>
  <si>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</si>
  <si>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</si>
  <si>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</si>
  <si>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</si>
  <si>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</si>
  <si>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</si>
  <si>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</si>
  <si>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</si>
  <si>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</si>
  <si>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</si>
  <si>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</si>
  <si>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</si>
  <si>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</si>
  <si>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</si>
  <si>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</si>
  <si>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</si>
  <si>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</si>
  <si>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</si>
  <si>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</si>
  <si>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</si>
  <si>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</si>
  <si>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</si>
  <si>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</si>
  <si>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</si>
  <si>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</si>
  <si>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</si>
  <si>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</si>
  <si>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</si>
  <si>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</si>
  <si>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</si>
  <si>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</si>
  <si>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</si>
  <si>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</si>
  <si>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</si>
  <si>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</si>
  <si>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</si>
  <si>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</si>
  <si>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</si>
  <si>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</si>
  <si>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</si>
  <si>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</si>
  <si>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</si>
  <si>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</si>
  <si>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</si>
  <si>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</si>
  <si>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</si>
  <si>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</si>
  <si>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</si>
  <si>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</si>
  <si>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</si>
  <si>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</si>
  <si>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</si>
  <si>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</si>
  <si>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</si>
  <si>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</si>
  <si>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</si>
  <si>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</si>
  <si>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</si>
  <si>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</si>
  <si>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</si>
  <si>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</si>
  <si>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</si>
  <si>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</si>
  <si>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</si>
  <si>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</si>
  <si>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</si>
  <si>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</si>
  <si>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</si>
  <si>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</si>
  <si>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</si>
  <si>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</si>
  <si>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</si>
  <si>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</si>
  <si>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</si>
  <si>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</si>
  <si>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</si>
  <si>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</si>
  <si>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</si>
  <si>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</si>
  <si>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</si>
  <si>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</si>
  <si>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</si>
  <si>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</si>
  <si>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Ingen tillæg </t>
  </si>
  <si>
    <t>Ledningsnet ≤ Ø 200 mm</t>
  </si>
  <si>
    <t>75</t>
  </si>
  <si>
    <t>Ø 200 mm &lt; Ledningsnet ≤ Ø 500 mm</t>
  </si>
  <si>
    <t>Ø 1200 mm &lt; Ledningsnet ≤ Ø 1600 mm</t>
  </si>
  <si>
    <t>Brønde</t>
  </si>
  <si>
    <t>Stik</t>
  </si>
  <si>
    <t>Ø 500 mm &lt; Ledningsnet ≤ Ø 800 mm</t>
  </si>
  <si>
    <t>Ø 800 mm &lt; Ledningsnet ≤ Ø 1000 mm</t>
  </si>
  <si>
    <t>Strømpeforing ≤ Ø 200 mm</t>
  </si>
  <si>
    <t>50</t>
  </si>
  <si>
    <t>Strømpeforing Ø 200 mm &lt; Ledningsnet ≤ Ø 500 mm</t>
  </si>
  <si>
    <t>Kælder</t>
  </si>
  <si>
    <t>Pumpestationer i brønde (&lt; 6,25 m2), Mek/EL</t>
  </si>
  <si>
    <t>20</t>
  </si>
  <si>
    <t>Pumpestationer i brønde (&lt; 6,25 m2), SRO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</si>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</sst>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263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41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17</v>
      </c>
      <c r="D14" s="60" t="s">
        <v>264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39</v>
      </c>
      <c r="D15" s="60" t="s">
        <v>104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40</v>
      </c>
      <c r="D16" s="60" t="s">
        <v>188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184</v>
      </c>
      <c r="D17" s="60" t="s">
        <v>189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156</v>
      </c>
      <c r="D18" s="63" t="s">
        <v>134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157</v>
      </c>
      <c r="D19" s="63" t="s">
        <v>135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158</v>
      </c>
      <c r="D21" s="69" t="s">
        <v>13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108</v>
      </c>
      <c r="D22" s="55" t="s">
        <v>190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191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42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159</v>
      </c>
      <c r="D25" s="55" t="s">
        <v>109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160</v>
      </c>
      <c r="D26" s="55" t="s">
        <v>110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161</v>
      </c>
      <c r="D27" s="55" t="s">
        <v>111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16</v>
      </c>
      <c r="D28" s="55" t="s">
        <v>187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44</v>
      </c>
      <c r="D29" s="55" t="s">
        <v>43</v>
      </c>
      <c r="E29" s="56"/>
      <c r="F29" s="56"/>
      <c r="G29" s="57"/>
      <c r="H29" s="1"/>
      <c r="I29" s="1"/>
    </row>
    <row r="30" spans="1:9" x14ac:dyDescent="0.25">
      <c r="A30" s="1"/>
      <c r="B30" s="1"/>
      <c r="C30" s="6" t="s">
        <v>45</v>
      </c>
      <c r="D30" s="66" t="s">
        <v>151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203</v>
      </c>
      <c r="C8" s="97"/>
      <c r="D8" s="98"/>
      <c r="E8" s="1"/>
      <c r="F8" s="1"/>
    </row>
    <row r="9" spans="1:6" ht="15" customHeight="1" x14ac:dyDescent="0.2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1225000</v>
      </c>
      <c r="D10" s="14" t="s">
        <v>3</v>
      </c>
      <c r="E10" s="1"/>
      <c r="F10" s="1"/>
    </row>
    <row r="11" spans="1:6" x14ac:dyDescent="0.25">
      <c r="A11" s="1"/>
      <c r="B11" s="49" t="s">
        <v>271</v>
      </c>
      <c r="C11" s="9">
        <v>116000</v>
      </c>
      <c r="D11" s="14" t="s">
        <v>3</v>
      </c>
      <c r="E11" s="1"/>
      <c r="F11" s="1"/>
    </row>
    <row r="12" spans="1:6" x14ac:dyDescent="0.25">
      <c r="A12" s="1"/>
      <c r="B12" s="49" t="s">
        <v>272</v>
      </c>
      <c r="C12" s="9">
        <v>800000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306000</v>
      </c>
      <c r="D13" s="14" t="s">
        <v>3</v>
      </c>
      <c r="E13" s="1"/>
      <c r="F13" s="1"/>
    </row>
    <row r="14" spans="1:6" x14ac:dyDescent="0.25">
      <c r="A14" s="1"/>
      <c r="B14" s="37" t="s">
        <v>205</v>
      </c>
      <c r="C14" s="12">
        <f>SUM(C10:C13)</f>
        <v>2447000</v>
      </c>
      <c r="D14" s="13" t="s">
        <v>3</v>
      </c>
      <c r="E14" s="1"/>
      <c r="F14" s="1"/>
    </row>
    <row r="15" spans="1:6" x14ac:dyDescent="0.25">
      <c r="A15" s="1"/>
      <c r="B15" s="37" t="s">
        <v>206</v>
      </c>
      <c r="C15" s="12">
        <f>C14*(1+'Fane 14. Nøgletal'!C13)^2</f>
        <v>2507071.0114799999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6" t="s">
        <v>176</v>
      </c>
      <c r="C18" s="97"/>
      <c r="D18" s="98"/>
      <c r="E18" s="1"/>
      <c r="F18" s="1"/>
    </row>
    <row r="19" spans="1:6" x14ac:dyDescent="0.25">
      <c r="A19" s="1"/>
      <c r="B19" s="49" t="s">
        <v>142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49" t="s">
        <v>143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9" t="s">
        <v>144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9" t="s">
        <v>207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6"/>
      <c r="C23" s="97"/>
      <c r="D23" s="9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6" t="s">
        <v>141</v>
      </c>
      <c r="C26" s="97"/>
      <c r="D26" s="98"/>
      <c r="E26" s="1"/>
      <c r="F26" s="1"/>
    </row>
    <row r="27" spans="1:6" x14ac:dyDescent="0.25">
      <c r="A27" s="1"/>
      <c r="B27" s="49" t="s">
        <v>142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9" t="s">
        <v>143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144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207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6"/>
      <c r="C31" s="97"/>
      <c r="D31" s="9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250</v>
      </c>
      <c r="C8" s="97"/>
      <c r="D8" s="97"/>
      <c r="E8" s="97"/>
      <c r="F8" s="98"/>
      <c r="G8" s="1"/>
    </row>
    <row r="9" spans="1:7" x14ac:dyDescent="0.25">
      <c r="A9" s="1"/>
      <c r="B9" s="99" t="s">
        <v>251</v>
      </c>
      <c r="C9" s="100"/>
      <c r="D9" s="101"/>
      <c r="E9" s="9">
        <v>134076625.61302905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133993000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93" t="s">
        <v>257</v>
      </c>
      <c r="C12" s="94"/>
      <c r="D12" s="95"/>
      <c r="E12" s="10">
        <f>E9-(E10-E11)</f>
        <v>83625.613029047847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4" t="s">
        <v>253</v>
      </c>
      <c r="C14" s="85"/>
      <c r="D14" s="85"/>
      <c r="E14" s="85"/>
      <c r="F14" s="8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6" t="s">
        <v>51</v>
      </c>
      <c r="C17" s="97"/>
      <c r="D17" s="97"/>
      <c r="E17" s="97"/>
      <c r="F17" s="98"/>
      <c r="G17" s="1"/>
    </row>
    <row r="18" spans="1:7" x14ac:dyDescent="0.25">
      <c r="A18" s="1"/>
      <c r="B18" s="99" t="s">
        <v>52</v>
      </c>
      <c r="C18" s="100"/>
      <c r="D18" s="101"/>
      <c r="E18" s="9">
        <v>140195046.35091147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135969000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25">
      <c r="A21" s="1"/>
      <c r="B21" s="93" t="s">
        <v>54</v>
      </c>
      <c r="C21" s="94"/>
      <c r="D21" s="95"/>
      <c r="E21" s="10">
        <f>E18-(E19-E20)</f>
        <v>4226046.3509114683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4" t="s">
        <v>253</v>
      </c>
      <c r="C23" s="85"/>
      <c r="D23" s="85"/>
      <c r="E23" s="85"/>
      <c r="F23" s="8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6" t="s">
        <v>254</v>
      </c>
      <c r="C25" s="97"/>
      <c r="D25" s="97"/>
      <c r="E25" s="97"/>
      <c r="F25" s="98"/>
      <c r="G25" s="1"/>
    </row>
    <row r="26" spans="1:7" x14ac:dyDescent="0.25">
      <c r="A26" s="1"/>
      <c r="B26" s="99" t="s">
        <v>255</v>
      </c>
      <c r="C26" s="100"/>
      <c r="D26" s="101"/>
      <c r="E26" s="9">
        <v>149687126.786989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144242000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117000</v>
      </c>
      <c r="F28" s="14" t="s">
        <v>3</v>
      </c>
      <c r="G28" s="1"/>
    </row>
    <row r="29" spans="1:7" x14ac:dyDescent="0.25">
      <c r="A29" s="1"/>
      <c r="B29" s="93" t="s">
        <v>258</v>
      </c>
      <c r="C29" s="94"/>
      <c r="D29" s="95"/>
      <c r="E29" s="10">
        <f>E26-(E27-E28)</f>
        <v>5562126.7869890034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259</v>
      </c>
      <c r="C32" s="97"/>
      <c r="D32" s="97"/>
      <c r="E32" s="97"/>
      <c r="F32" s="98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93gUzlKv6uRrf6vUjMD2UIGtvaL67v4Q9kOii1K3OWCcwbEuy0qhFPlq26qY59Ep8fnaEXJRtOC6AfhQoXiImw==" saltValue="6Hj3274HauDi6V5ZAfy9tg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210</v>
      </c>
      <c r="C9" s="97"/>
      <c r="D9" s="97"/>
      <c r="E9" s="97"/>
      <c r="F9" s="97"/>
      <c r="G9" s="1"/>
    </row>
    <row r="10" spans="1:7" x14ac:dyDescent="0.25">
      <c r="A10" s="1"/>
      <c r="B10" s="84" t="s">
        <v>145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93" t="s">
        <v>146</v>
      </c>
      <c r="C12" s="94"/>
      <c r="D12" s="95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133</v>
      </c>
      <c r="C13" s="97"/>
      <c r="D13" s="97"/>
      <c r="E13" s="97"/>
      <c r="F13" s="97"/>
      <c r="G13" s="1"/>
    </row>
    <row r="14" spans="1:7" x14ac:dyDescent="0.25">
      <c r="A14" s="1"/>
      <c r="B14" s="99" t="s">
        <v>212</v>
      </c>
      <c r="C14" s="100"/>
      <c r="D14" s="101"/>
      <c r="E14" s="9">
        <v>0</v>
      </c>
      <c r="F14" s="8" t="s">
        <v>3</v>
      </c>
      <c r="G14" s="1"/>
    </row>
    <row r="15" spans="1:7" x14ac:dyDescent="0.25">
      <c r="A15" s="1"/>
      <c r="B15" s="84" t="s">
        <v>213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93" t="s">
        <v>146</v>
      </c>
      <c r="C16" s="94"/>
      <c r="D16" s="95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236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278</v>
      </c>
      <c r="C10" s="122" t="s">
        <v>279</v>
      </c>
      <c r="D10" s="9">
        <v>2000</v>
      </c>
      <c r="E10" s="9">
        <f>IFERROR(D10/C10,0)</f>
        <v>26.666666666666668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1" t="s">
        <v>280</v>
      </c>
      <c r="C11" s="122" t="s">
        <v>279</v>
      </c>
      <c r="D11" s="9">
        <v>1000</v>
      </c>
      <c r="E11" s="9">
        <f t="shared" ref="E11:E30" si="0">IFERROR(D11/C11,0)</f>
        <v>13.333333333333334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1" t="s">
        <v>281</v>
      </c>
      <c r="C12" s="122" t="s">
        <v>279</v>
      </c>
      <c r="D12" s="9">
        <v>1000</v>
      </c>
      <c r="E12" s="9">
        <f t="shared" si="0"/>
        <v>13.333333333333334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1" t="s">
        <v>282</v>
      </c>
      <c r="C13" s="122" t="s">
        <v>279</v>
      </c>
      <c r="D13" s="9">
        <v>1000</v>
      </c>
      <c r="E13" s="9">
        <f t="shared" si="0"/>
        <v>13.333333333333334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1" t="s">
        <v>278</v>
      </c>
      <c r="C14" s="122" t="s">
        <v>279</v>
      </c>
      <c r="D14" s="9">
        <v>17000</v>
      </c>
      <c r="E14" s="9">
        <f t="shared" si="0"/>
        <v>226.66666666666666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1" t="s">
        <v>280</v>
      </c>
      <c r="C15" s="122" t="s">
        <v>279</v>
      </c>
      <c r="D15" s="9">
        <v>21000</v>
      </c>
      <c r="E15" s="9">
        <f t="shared" si="0"/>
        <v>280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1" t="s">
        <v>282</v>
      </c>
      <c r="C16" s="122" t="s">
        <v>279</v>
      </c>
      <c r="D16" s="9">
        <v>26000</v>
      </c>
      <c r="E16" s="9">
        <f t="shared" si="0"/>
        <v>346.66666666666669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1" t="s">
        <v>283</v>
      </c>
      <c r="C17" s="122" t="s">
        <v>279</v>
      </c>
      <c r="D17" s="9">
        <v>8000</v>
      </c>
      <c r="E17" s="9">
        <f t="shared" si="0"/>
        <v>106.66666666666667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1" t="s">
        <v>278</v>
      </c>
      <c r="C18" s="122" t="s">
        <v>279</v>
      </c>
      <c r="D18" s="9">
        <v>4509000</v>
      </c>
      <c r="E18" s="9">
        <f t="shared" si="0"/>
        <v>60120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1" t="s">
        <v>280</v>
      </c>
      <c r="C19" s="122" t="s">
        <v>279</v>
      </c>
      <c r="D19" s="9">
        <v>2050000</v>
      </c>
      <c r="E19" s="9">
        <f t="shared" si="0"/>
        <v>27333.333333333332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1" t="s">
        <v>284</v>
      </c>
      <c r="C20" s="122" t="s">
        <v>279</v>
      </c>
      <c r="D20" s="9">
        <v>38000</v>
      </c>
      <c r="E20" s="9">
        <f t="shared" si="0"/>
        <v>506.66666666666669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1" t="s">
        <v>285</v>
      </c>
      <c r="C21" s="122" t="s">
        <v>279</v>
      </c>
      <c r="D21" s="9">
        <v>524000</v>
      </c>
      <c r="E21" s="9">
        <f t="shared" si="0"/>
        <v>6986.666666666667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1" t="s">
        <v>282</v>
      </c>
      <c r="C22" s="122" t="s">
        <v>279</v>
      </c>
      <c r="D22" s="9">
        <v>471000</v>
      </c>
      <c r="E22" s="9">
        <f t="shared" si="0"/>
        <v>6280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1" t="s">
        <v>278</v>
      </c>
      <c r="C23" s="122" t="s">
        <v>279</v>
      </c>
      <c r="D23" s="9">
        <v>38000</v>
      </c>
      <c r="E23" s="9">
        <f t="shared" si="0"/>
        <v>506.66666666666669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1" t="s">
        <v>280</v>
      </c>
      <c r="C24" s="122" t="s">
        <v>279</v>
      </c>
      <c r="D24" s="9">
        <v>543000</v>
      </c>
      <c r="E24" s="9">
        <f t="shared" si="0"/>
        <v>7240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51" t="s">
        <v>284</v>
      </c>
      <c r="C25" s="122" t="s">
        <v>279</v>
      </c>
      <c r="D25" s="9">
        <v>217000</v>
      </c>
      <c r="E25" s="9">
        <f t="shared" si="0"/>
        <v>2893.3333333333335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1" t="s">
        <v>286</v>
      </c>
      <c r="C26" s="122" t="s">
        <v>287</v>
      </c>
      <c r="D26" s="9">
        <v>17000</v>
      </c>
      <c r="E26" s="9">
        <f t="shared" si="0"/>
        <v>340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1" t="s">
        <v>288</v>
      </c>
      <c r="C27" s="122" t="s">
        <v>287</v>
      </c>
      <c r="D27" s="9">
        <v>9000</v>
      </c>
      <c r="E27" s="9">
        <f t="shared" si="0"/>
        <v>180</v>
      </c>
      <c r="F27" s="9">
        <v>0</v>
      </c>
      <c r="G27" s="9">
        <v>0</v>
      </c>
      <c r="H27" s="14" t="s">
        <v>3</v>
      </c>
      <c r="I27" s="1"/>
    </row>
    <row r="28" spans="1:9" x14ac:dyDescent="0.25">
      <c r="A28" s="1"/>
      <c r="B28" s="51" t="s">
        <v>282</v>
      </c>
      <c r="C28" s="122" t="s">
        <v>279</v>
      </c>
      <c r="D28" s="9">
        <v>429000</v>
      </c>
      <c r="E28" s="9">
        <f t="shared" si="0"/>
        <v>5720</v>
      </c>
      <c r="F28" s="9">
        <v>0</v>
      </c>
      <c r="G28" s="9">
        <v>0</v>
      </c>
      <c r="H28" s="14" t="s">
        <v>3</v>
      </c>
      <c r="I28" s="1"/>
    </row>
    <row r="29" spans="1:9" x14ac:dyDescent="0.25">
      <c r="A29" s="1"/>
      <c r="B29" s="51" t="s">
        <v>283</v>
      </c>
      <c r="C29" s="122" t="s">
        <v>279</v>
      </c>
      <c r="D29" s="9">
        <v>285000</v>
      </c>
      <c r="E29" s="9">
        <f t="shared" si="0"/>
        <v>3800</v>
      </c>
      <c r="F29" s="9">
        <v>0</v>
      </c>
      <c r="G29" s="9">
        <v>0</v>
      </c>
      <c r="H29" s="14" t="s">
        <v>3</v>
      </c>
      <c r="I29" s="1"/>
    </row>
    <row r="30" spans="1:9" x14ac:dyDescent="0.25">
      <c r="A30" s="1"/>
      <c r="B30" s="51" t="s">
        <v>289</v>
      </c>
      <c r="C30" s="122" t="s">
        <v>279</v>
      </c>
      <c r="D30" s="9">
        <v>4023000</v>
      </c>
      <c r="E30" s="9">
        <f t="shared" si="0"/>
        <v>53640</v>
      </c>
      <c r="F30" s="9">
        <v>0</v>
      </c>
      <c r="G30" s="9">
        <v>0</v>
      </c>
      <c r="H30" s="14" t="s">
        <v>3</v>
      </c>
      <c r="I30" s="1"/>
    </row>
    <row r="31" spans="1:9" ht="26.25" x14ac:dyDescent="0.25">
      <c r="A31" s="1"/>
      <c r="B31" s="51" t="s">
        <v>290</v>
      </c>
      <c r="C31" s="122" t="s">
        <v>291</v>
      </c>
      <c r="D31" s="9">
        <v>1073000</v>
      </c>
      <c r="E31" s="9">
        <f t="shared" ref="E31:E32" si="1">IFERROR(D31/C31,0)</f>
        <v>53650</v>
      </c>
      <c r="F31" s="9">
        <v>0</v>
      </c>
      <c r="G31" s="9">
        <v>0</v>
      </c>
      <c r="H31" s="14" t="s">
        <v>3</v>
      </c>
      <c r="I31" s="1"/>
    </row>
    <row r="32" spans="1:9" ht="26.25" x14ac:dyDescent="0.25">
      <c r="A32" s="1"/>
      <c r="B32" s="51" t="s">
        <v>292</v>
      </c>
      <c r="C32" s="122" t="s">
        <v>293</v>
      </c>
      <c r="D32" s="9">
        <v>268000</v>
      </c>
      <c r="E32" s="9">
        <f t="shared" si="1"/>
        <v>26800</v>
      </c>
      <c r="F32" s="9">
        <v>0</v>
      </c>
      <c r="G32" s="9">
        <v>0</v>
      </c>
      <c r="H32" s="14" t="s">
        <v>3</v>
      </c>
      <c r="I32" s="1"/>
    </row>
    <row r="33" spans="1:9" x14ac:dyDescent="0.25">
      <c r="A33" s="1"/>
      <c r="B33" s="96" t="s">
        <v>237</v>
      </c>
      <c r="C33" s="97"/>
      <c r="D33" s="98"/>
      <c r="E33" s="12">
        <f>SUM(E10:E32)</f>
        <v>257023.33333333334</v>
      </c>
      <c r="F33" s="12">
        <f t="shared" ref="F33:G33" si="2">SUM(F10:F32)</f>
        <v>0</v>
      </c>
      <c r="G33" s="12">
        <f t="shared" si="2"/>
        <v>0</v>
      </c>
      <c r="H33" s="13" t="s">
        <v>3</v>
      </c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33:D3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Anlægsprojekter'!F33</f>
        <v>0</v>
      </c>
      <c r="D10" s="14" t="s">
        <v>3</v>
      </c>
      <c r="E10" s="9">
        <f>SUM('Fane 9. Anlægsprojekter'!E33,'Fane 9. Anlægsprojekter'!G33)</f>
        <v>257023.33333333334</v>
      </c>
      <c r="F10" s="14" t="s">
        <v>3</v>
      </c>
      <c r="G10" s="1"/>
    </row>
    <row r="11" spans="1:7" x14ac:dyDescent="0.25">
      <c r="A11" s="1"/>
      <c r="B11" s="123" t="s">
        <v>276</v>
      </c>
      <c r="C11" s="22">
        <v>3394360</v>
      </c>
      <c r="D11" s="14" t="s">
        <v>3</v>
      </c>
      <c r="E11" s="9">
        <v>1628283</v>
      </c>
      <c r="F11" s="14" t="s">
        <v>3</v>
      </c>
      <c r="G11" s="1"/>
    </row>
    <row r="12" spans="1:7" x14ac:dyDescent="0.25">
      <c r="A12" s="1"/>
      <c r="B12" s="37" t="s">
        <v>49</v>
      </c>
      <c r="C12" s="12">
        <f>SUM(C10:C11)</f>
        <v>3394360</v>
      </c>
      <c r="D12" s="13" t="s">
        <v>3</v>
      </c>
      <c r="E12" s="12">
        <f>SUM(E10:E11)</f>
        <v>1885306.3333333333</v>
      </c>
      <c r="F12" s="13" t="s">
        <v>3</v>
      </c>
      <c r="G12" s="1"/>
    </row>
    <row r="13" spans="1:7" x14ac:dyDescent="0.25">
      <c r="A13" s="1"/>
      <c r="B13" s="37" t="s">
        <v>215</v>
      </c>
      <c r="C13" s="12">
        <f>C12*(1+'Fane 14. Nøgletal'!C13)</f>
        <v>3435771.1919999998</v>
      </c>
      <c r="D13" s="13" t="s">
        <v>3</v>
      </c>
      <c r="E13" s="12">
        <f>E12*(1+'Fane 14. Nøgletal'!C13)</f>
        <v>1908307.0706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3/E/U+enXHcWWWVlTXRVT/+o29FaKa5EnVE5jBgW75ycxx+k91vk+TzRf+YJQy9hZZsWCPUAG6crfnlwXFOQdA==" saltValue="WXwHGeMiJ/e1XqF8W0th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136</v>
      </c>
      <c r="C8" s="97"/>
      <c r="D8" s="97"/>
      <c r="E8" s="97"/>
      <c r="F8" s="98"/>
      <c r="G8" s="1"/>
    </row>
    <row r="9" spans="1:7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277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137</v>
      </c>
      <c r="C16" s="97"/>
      <c r="D16" s="97"/>
      <c r="E16" s="97"/>
      <c r="F16" s="98"/>
      <c r="G16" s="1"/>
    </row>
    <row r="17" spans="1:7" x14ac:dyDescent="0.25">
      <c r="A17" s="1"/>
      <c r="B17" s="39" t="s">
        <v>18</v>
      </c>
      <c r="C17" s="39" t="s">
        <v>12</v>
      </c>
      <c r="D17" s="40"/>
      <c r="E17" s="39" t="s">
        <v>36</v>
      </c>
      <c r="F17" s="53"/>
      <c r="G17" s="1"/>
    </row>
    <row r="18" spans="1:7" x14ac:dyDescent="0.25">
      <c r="A18" s="1"/>
      <c r="B18" s="25" t="s">
        <v>277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138</v>
      </c>
      <c r="C24" s="97"/>
      <c r="D24" s="97"/>
      <c r="E24" s="97"/>
      <c r="F24" s="98"/>
      <c r="G24" s="1"/>
    </row>
    <row r="25" spans="1:7" x14ac:dyDescent="0.25">
      <c r="A25" s="1"/>
      <c r="B25" s="39" t="s">
        <v>18</v>
      </c>
      <c r="C25" s="39" t="s">
        <v>12</v>
      </c>
      <c r="D25" s="40"/>
      <c r="E25" s="39" t="s">
        <v>36</v>
      </c>
      <c r="F25" s="53"/>
      <c r="G25" s="1"/>
    </row>
    <row r="26" spans="1:7" x14ac:dyDescent="0.25">
      <c r="A26" s="1"/>
      <c r="B26" s="25" t="s">
        <v>277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218</v>
      </c>
      <c r="C32" s="97"/>
      <c r="D32" s="97"/>
      <c r="E32" s="97"/>
      <c r="F32" s="98"/>
      <c r="G32" s="1"/>
    </row>
    <row r="33" spans="1:7" x14ac:dyDescent="0.25">
      <c r="A33" s="1"/>
      <c r="B33" s="39" t="s">
        <v>18</v>
      </c>
      <c r="C33" s="39" t="s">
        <v>12</v>
      </c>
      <c r="D33" s="40"/>
      <c r="E33" s="39" t="s">
        <v>36</v>
      </c>
      <c r="F33" s="53"/>
      <c r="G33" s="1"/>
    </row>
    <row r="34" spans="1:7" x14ac:dyDescent="0.25">
      <c r="A34" s="1"/>
      <c r="B34" s="25" t="s">
        <v>277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FEQgy00egFBFNRa2pljaqZsCJdTjUrOYINjZ63GNvPxENINHSFw1nPgZxp78Nj7w2V0S/oPwSxcrM4Y7L1JLA==" saltValue="TyTXMMRg3rSr0NWDIpBE6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175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4"/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123</v>
      </c>
      <c r="C8" s="97"/>
      <c r="D8" s="97"/>
      <c r="E8" s="97"/>
      <c r="F8" s="98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1" t="s">
        <v>10</v>
      </c>
      <c r="C10" s="82"/>
      <c r="D10" s="83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6" t="s">
        <v>126</v>
      </c>
      <c r="C12" s="97"/>
      <c r="D12" s="98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124</v>
      </c>
      <c r="C14" s="97"/>
      <c r="D14" s="97"/>
      <c r="E14" s="97"/>
      <c r="F14" s="98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1" t="s">
        <v>10</v>
      </c>
      <c r="C16" s="82"/>
      <c r="D16" s="83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6" t="s">
        <v>127</v>
      </c>
      <c r="C18" s="97"/>
      <c r="D18" s="9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125</v>
      </c>
      <c r="C20" s="97"/>
      <c r="D20" s="97"/>
      <c r="E20" s="97"/>
      <c r="F20" s="98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1" t="s">
        <v>10</v>
      </c>
      <c r="C22" s="82"/>
      <c r="D22" s="83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6" t="s">
        <v>128</v>
      </c>
      <c r="C24" s="97"/>
      <c r="D24" s="9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220</v>
      </c>
      <c r="C26" s="97"/>
      <c r="D26" s="97"/>
      <c r="E26" s="97"/>
      <c r="F26" s="98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1" t="s">
        <v>10</v>
      </c>
      <c r="C28" s="82"/>
      <c r="D28" s="83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6" t="s">
        <v>221</v>
      </c>
      <c r="C30" s="97"/>
      <c r="D30" s="9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222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223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224</v>
      </c>
      <c r="C9" s="87" t="s">
        <v>12</v>
      </c>
      <c r="D9" s="89"/>
      <c r="E9" s="120" t="s">
        <v>36</v>
      </c>
      <c r="F9" s="121"/>
      <c r="G9" s="1"/>
    </row>
    <row r="10" spans="1:7" x14ac:dyDescent="0.2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130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129</v>
      </c>
      <c r="C14" s="97"/>
      <c r="D14" s="97"/>
      <c r="E14" s="97"/>
      <c r="F14" s="98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131</v>
      </c>
      <c r="C20" s="97"/>
      <c r="D20" s="97"/>
      <c r="E20" s="97"/>
      <c r="F20" s="98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4" t="s">
        <v>265</v>
      </c>
      <c r="C3" s="74"/>
      <c r="D3" s="1"/>
    </row>
    <row r="4" spans="1:4" ht="25.5" customHeight="1" x14ac:dyDescent="0.25">
      <c r="A4" s="1"/>
      <c r="B4" s="74"/>
      <c r="C4" s="7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8" t="s">
        <v>27</v>
      </c>
      <c r="C9" s="7">
        <f>'Fane 3. Omkostninger i ØR2020'!E22</f>
        <v>139789555.64745989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1168684.2504376413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1048196.6677355901</v>
      </c>
      <c r="D13" s="8" t="s">
        <v>3</v>
      </c>
      <c r="E13" s="1"/>
    </row>
    <row r="14" spans="1:5" ht="17.100000000000001" customHeight="1" x14ac:dyDescent="0.25">
      <c r="A14" s="1"/>
      <c r="B14" s="46" t="s">
        <v>46</v>
      </c>
      <c r="C14" s="7">
        <f>'Fane 10.1. Varige tillæg'!C13</f>
        <v>3435771.1919999998</v>
      </c>
      <c r="D14" s="8" t="s">
        <v>3</v>
      </c>
      <c r="E14" s="1"/>
    </row>
    <row r="15" spans="1:5" ht="17.100000000000001" customHeight="1" x14ac:dyDescent="0.25">
      <c r="A15" s="1"/>
      <c r="B15" s="46" t="s">
        <v>47</v>
      </c>
      <c r="C15" s="9">
        <f>'Fane 10.1. Varige tillæg'!E13</f>
        <v>1908307.0706</v>
      </c>
      <c r="D15" s="8" t="s">
        <v>3</v>
      </c>
      <c r="E15" s="1"/>
    </row>
    <row r="16" spans="1:5" ht="17.100000000000001" customHeight="1" x14ac:dyDescent="0.25">
      <c r="A16" s="1"/>
      <c r="B16" s="46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2513119.8007530244</v>
      </c>
      <c r="D20" s="8" t="s">
        <v>3</v>
      </c>
      <c r="E20" s="1"/>
    </row>
    <row r="21" spans="1:5" ht="17.100000000000001" customHeight="1" x14ac:dyDescent="0.25">
      <c r="A21" s="1"/>
      <c r="B21" s="46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6" t="s">
        <v>29</v>
      </c>
      <c r="C22" s="9">
        <f>-'Fane 4.1. Gen. krav - drift'!G36</f>
        <v>-870236.02511069237</v>
      </c>
      <c r="D22" s="8" t="s">
        <v>3</v>
      </c>
      <c r="E22" s="1"/>
    </row>
    <row r="23" spans="1:5" ht="15" customHeight="1" x14ac:dyDescent="0.25">
      <c r="A23" s="1"/>
      <c r="B23" s="46" t="s">
        <v>30</v>
      </c>
      <c r="C23" s="9">
        <f>-'Fane 4.2. Gen. krav - anlæg'!G35</f>
        <v>-1869894.3955516375</v>
      </c>
      <c r="D23" s="8" t="s">
        <v>3</v>
      </c>
      <c r="E23" s="1"/>
    </row>
    <row r="24" spans="1:5" ht="15" customHeight="1" x14ac:dyDescent="0.25">
      <c r="A24" s="1"/>
      <c r="B24" s="45" t="s">
        <v>22</v>
      </c>
      <c r="C24" s="10">
        <f>SUM(C9,C14:C23)</f>
        <v>144906623.29015058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omk.'!C15+'Fane 6. Ikke-påvirkelige omk.'!C19+'Fane 6. Ikke-påvirkelige omk.'!C27</f>
        <v>2507071.0114799999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6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6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5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0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147413694.30163059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8" t="s">
        <v>28</v>
      </c>
      <c r="C9" s="7">
        <f>'Fane 2.1. Økonomisk ramme 2021'!C24</f>
        <v>144906623.29015058</v>
      </c>
      <c r="D9" s="8" t="s">
        <v>3</v>
      </c>
      <c r="E9" s="1"/>
    </row>
    <row r="10" spans="1:5" ht="15" customHeight="1" x14ac:dyDescent="0.2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1767860.8041398372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-863235.84652470204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-2857663.1348013198</v>
      </c>
      <c r="D15" s="8" t="s">
        <v>3</v>
      </c>
      <c r="E15" s="1"/>
    </row>
    <row r="16" spans="1:5" ht="15" customHeight="1" x14ac:dyDescent="0.25">
      <c r="A16" s="1"/>
      <c r="B16" s="42" t="s">
        <v>22</v>
      </c>
      <c r="C16" s="10">
        <f>SUM(C9:C15)</f>
        <v>142953585.11296436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omk.'!C15*(1+'Fane 14. Nøgletal'!C13)+'Fane 6. Ikke-påvirkelige omk.'!C20+'Fane 6. Ikke-påvirkelige omk.'!C28</f>
        <v>2537657.2778200558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6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6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145491242.39078441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155</v>
      </c>
      <c r="C8" s="7">
        <f>'Fane 2.2. Økonomisk ramme 2022'!C16</f>
        <v>142953585.11296436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1744033.7383781653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-856291.97737525729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-2812982.1428571339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141028344.73111013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Nøgletal'!C13)^2+'Fane 6. Ikke-påvirkelige omk.'!C21+'Fane 6. Ikke-påvirkelige omk.'!C29</f>
        <v>2568616.6966094607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143596961.42771959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198</v>
      </c>
      <c r="C8" s="7">
        <f>'Fane 2.3. Økonomisk ramme 2023'!C15</f>
        <v>141028344.73111013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1720545.8057195437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-849403.96470925084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-2768999.7605624911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139130486.81155795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Nøgletal'!C13)^3+'Fane 6. Ikke-påvirkelige omk.'!C22+'Fane 6. Ikke-påvirkelige omk.'!C30</f>
        <v>2599953.8203080962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141730440.63186604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200</v>
      </c>
      <c r="C3" s="74"/>
      <c r="D3" s="74"/>
      <c r="E3" s="74"/>
      <c r="F3" s="74"/>
      <c r="G3" s="1"/>
    </row>
    <row r="4" spans="1:7" ht="29.2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75" t="s">
        <v>25</v>
      </c>
      <c r="C9" s="76"/>
      <c r="D9" s="77"/>
      <c r="E9" s="7">
        <v>138901492.90751982</v>
      </c>
      <c r="F9" s="8" t="s">
        <v>3</v>
      </c>
      <c r="G9" s="1"/>
    </row>
    <row r="10" spans="1:7" x14ac:dyDescent="0.25">
      <c r="A10" s="1"/>
      <c r="B10" s="81" t="s">
        <v>233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81" t="s">
        <v>234</v>
      </c>
      <c r="C11" s="82"/>
      <c r="D11" s="83"/>
      <c r="E11" s="7">
        <v>1159348.0553285226</v>
      </c>
      <c r="F11" s="8" t="s">
        <v>3</v>
      </c>
      <c r="G11" s="1"/>
    </row>
    <row r="12" spans="1:7" x14ac:dyDescent="0.25">
      <c r="A12" s="1"/>
      <c r="B12" s="78" t="s">
        <v>46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47</v>
      </c>
      <c r="C13" s="79"/>
      <c r="D13" s="80"/>
      <c r="E13" s="9">
        <v>1057993.1340000003</v>
      </c>
      <c r="F13" s="8" t="s">
        <v>3</v>
      </c>
      <c r="G13" s="1"/>
    </row>
    <row r="14" spans="1:7" x14ac:dyDescent="0.25">
      <c r="A14" s="1"/>
      <c r="B14" s="78" t="s">
        <v>32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31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193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194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20</v>
      </c>
      <c r="C18" s="79"/>
      <c r="D18" s="80"/>
      <c r="E18" s="9">
        <f>(E9-SUM(E10:E11))*'Fane 14. Nøgletal'!C10+SUM(E10:E11)*'Fane 14. Nøgletal'!C11+SUM(E12:E17)*'Fane 14. Nøgletal'!C12</f>
        <v>2450922.9817881999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78" t="s">
        <v>29</v>
      </c>
      <c r="C20" s="79"/>
      <c r="D20" s="80"/>
      <c r="E20" s="9">
        <f>-'Fane 4.1. Gen. krav - drift'!G28</f>
        <v>-802970.7397080122</v>
      </c>
      <c r="F20" s="8" t="s">
        <v>3</v>
      </c>
      <c r="G20" s="1"/>
    </row>
    <row r="21" spans="1:7" x14ac:dyDescent="0.25">
      <c r="A21" s="1"/>
      <c r="B21" s="78" t="s">
        <v>30</v>
      </c>
      <c r="C21" s="79"/>
      <c r="D21" s="80"/>
      <c r="E21" s="9">
        <f>-'Fane 4.2. Gen. krav - anlæg'!G27</f>
        <v>-1817882.6361400962</v>
      </c>
      <c r="F21" s="8" t="s">
        <v>3</v>
      </c>
      <c r="G21" s="1"/>
    </row>
    <row r="22" spans="1:7" x14ac:dyDescent="0.25">
      <c r="A22" s="1"/>
      <c r="B22" s="90" t="s">
        <v>22</v>
      </c>
      <c r="C22" s="91"/>
      <c r="D22" s="92"/>
      <c r="E22" s="10">
        <f>SUM(E9,E12:E21)</f>
        <v>139789555.64745989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87" t="s">
        <v>13</v>
      </c>
      <c r="C24" s="88"/>
      <c r="D24" s="89"/>
      <c r="E24" s="10">
        <v>2485093.5351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3" t="s">
        <v>111</v>
      </c>
      <c r="C26" s="94"/>
      <c r="D26" s="95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1" t="s">
        <v>106</v>
      </c>
      <c r="C28" s="82"/>
      <c r="D28" s="83"/>
      <c r="E28" s="34">
        <v>0</v>
      </c>
      <c r="F28" s="8" t="s">
        <v>3</v>
      </c>
      <c r="G28" s="1"/>
    </row>
    <row r="29" spans="1:7" ht="15.75" customHeight="1" x14ac:dyDescent="0.25">
      <c r="A29" s="1"/>
      <c r="B29" s="81" t="s">
        <v>107</v>
      </c>
      <c r="C29" s="82"/>
      <c r="D29" s="83"/>
      <c r="E29" s="34">
        <v>0</v>
      </c>
      <c r="F29" s="8" t="s">
        <v>3</v>
      </c>
      <c r="G29" s="1"/>
    </row>
    <row r="30" spans="1:7" x14ac:dyDescent="0.2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87" t="s">
        <v>267</v>
      </c>
      <c r="C32" s="88"/>
      <c r="D32" s="89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87" t="s">
        <v>269</v>
      </c>
      <c r="C34" s="88"/>
      <c r="D34" s="89"/>
      <c r="E34" s="10">
        <v>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142274649.18255991</v>
      </c>
      <c r="F35" s="13" t="s">
        <v>3</v>
      </c>
      <c r="G35" s="1"/>
    </row>
    <row r="36" spans="1:7" ht="26.85" customHeight="1" x14ac:dyDescent="0.25">
      <c r="A36" s="1"/>
      <c r="B36" s="84" t="s">
        <v>202</v>
      </c>
      <c r="C36" s="85"/>
      <c r="D36" s="85"/>
      <c r="E36" s="85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167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6" t="s">
        <v>66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40493772.949501909</v>
      </c>
      <c r="H5" s="14" t="s">
        <v>3</v>
      </c>
      <c r="I5" s="1"/>
    </row>
    <row r="6" spans="1:9" x14ac:dyDescent="0.25">
      <c r="A6" s="1"/>
      <c r="B6" s="84" t="s">
        <v>183</v>
      </c>
      <c r="C6" s="85"/>
      <c r="D6" s="85"/>
      <c r="E6" s="85"/>
      <c r="F6" s="8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809875.45899003826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67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40378365.696595833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0</v>
      </c>
      <c r="H12" s="14" t="s">
        <v>3</v>
      </c>
      <c r="I12" s="1"/>
    </row>
    <row r="13" spans="1:9" x14ac:dyDescent="0.25">
      <c r="A13" s="1"/>
      <c r="B13" s="84" t="s">
        <v>182</v>
      </c>
      <c r="C13" s="85"/>
      <c r="D13" s="85"/>
      <c r="E13" s="85"/>
      <c r="F13" s="86"/>
      <c r="G13" s="24">
        <v>0</v>
      </c>
      <c r="H13" s="14" t="s">
        <v>3</v>
      </c>
      <c r="I13" s="1"/>
    </row>
    <row r="14" spans="1:9" x14ac:dyDescent="0.25">
      <c r="A14" s="1"/>
      <c r="B14" s="107" t="s">
        <v>58</v>
      </c>
      <c r="C14" s="105"/>
      <c r="D14" s="105"/>
      <c r="E14" s="105"/>
      <c r="F14" s="106"/>
      <c r="G14" s="24">
        <v>0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807567.31393191672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6" t="s">
        <v>68</v>
      </c>
      <c r="C18" s="97"/>
      <c r="D18" s="97"/>
      <c r="E18" s="97"/>
      <c r="F18" s="97"/>
      <c r="G18" s="97"/>
      <c r="H18" s="98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40263287.354360536</v>
      </c>
      <c r="H19" s="14" t="s">
        <v>3</v>
      </c>
      <c r="I19" s="1"/>
    </row>
    <row r="20" spans="1:9" x14ac:dyDescent="0.25">
      <c r="A20" s="1"/>
      <c r="B20" s="107" t="s">
        <v>61</v>
      </c>
      <c r="C20" s="105"/>
      <c r="D20" s="105"/>
      <c r="E20" s="105"/>
      <c r="F20" s="106"/>
      <c r="G20" s="24">
        <v>0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805265.74708721077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6" t="s">
        <v>69</v>
      </c>
      <c r="C24" s="97"/>
      <c r="D24" s="97"/>
      <c r="E24" s="97"/>
      <c r="F24" s="97"/>
      <c r="G24" s="97"/>
      <c r="H24" s="98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40148536.98540061</v>
      </c>
      <c r="H25" s="14" t="s">
        <v>3</v>
      </c>
      <c r="I25" s="1"/>
    </row>
    <row r="26" spans="1:9" x14ac:dyDescent="0.25">
      <c r="A26" s="1"/>
      <c r="B26" s="102" t="s">
        <v>180</v>
      </c>
      <c r="C26" s="103"/>
      <c r="D26" s="103"/>
      <c r="E26" s="103"/>
      <c r="F26" s="104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107" t="s">
        <v>64</v>
      </c>
      <c r="C27" s="105"/>
      <c r="D27" s="105"/>
      <c r="E27" s="105"/>
      <c r="F27" s="106"/>
      <c r="G27" s="24">
        <v>0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802970.7397080122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72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40034113.654992223</v>
      </c>
      <c r="H32" s="14" t="s">
        <v>3</v>
      </c>
      <c r="I32" s="1"/>
    </row>
    <row r="33" spans="1:9" x14ac:dyDescent="0.25">
      <c r="A33" s="1"/>
      <c r="B33" s="102" t="s">
        <v>180</v>
      </c>
      <c r="C33" s="105"/>
      <c r="D33" s="105"/>
      <c r="E33" s="105"/>
      <c r="F33" s="106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2" t="s">
        <v>181</v>
      </c>
      <c r="C34" s="105"/>
      <c r="D34" s="105"/>
      <c r="E34" s="105"/>
      <c r="F34" s="106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3477687.6005423996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870236.02511069237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6" t="s">
        <v>99</v>
      </c>
      <c r="C39" s="97"/>
      <c r="D39" s="97"/>
      <c r="E39" s="97"/>
      <c r="F39" s="97"/>
      <c r="G39" s="97"/>
      <c r="H39" s="98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43161792.326235101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863235.84652470204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6" t="s">
        <v>100</v>
      </c>
      <c r="C45" s="97"/>
      <c r="D45" s="97"/>
      <c r="E45" s="97"/>
      <c r="F45" s="97"/>
      <c r="G45" s="97"/>
      <c r="H45" s="98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42814598.868762866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856291.97737525729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6" t="s">
        <v>240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42470198.235462539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849403.96470925084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2" style="2" customWidth="1"/>
    <col min="7" max="7" width="11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6" t="s">
        <v>70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99934720.347025573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909405.95515793271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78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100758257.39372534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-261085.50452269</v>
      </c>
      <c r="H12" s="14" t="s">
        <v>3</v>
      </c>
      <c r="I12" s="1"/>
    </row>
    <row r="13" spans="1:9" x14ac:dyDescent="0.25">
      <c r="A13" s="1"/>
      <c r="B13" s="107" t="s">
        <v>80</v>
      </c>
      <c r="C13" s="105"/>
      <c r="D13" s="105"/>
      <c r="E13" s="105"/>
      <c r="F13" s="106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1778799.9424388867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82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100445943.45583212</v>
      </c>
      <c r="H18" s="14" t="s">
        <v>3</v>
      </c>
      <c r="I18" s="1"/>
    </row>
    <row r="19" spans="1:9" x14ac:dyDescent="0.25">
      <c r="A19" s="1"/>
      <c r="B19" s="107" t="s">
        <v>84</v>
      </c>
      <c r="C19" s="105"/>
      <c r="D19" s="105"/>
      <c r="E19" s="105"/>
      <c r="F19" s="106"/>
      <c r="G19" s="24">
        <v>1169522.9045985297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1788068.0484382357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6" t="s">
        <v>86</v>
      </c>
      <c r="C23" s="97"/>
      <c r="D23" s="97"/>
      <c r="E23" s="97"/>
      <c r="F23" s="97"/>
      <c r="G23" s="97"/>
      <c r="H23" s="98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101573682.17361909</v>
      </c>
      <c r="H24" s="14" t="s">
        <v>3</v>
      </c>
      <c r="I24" s="1"/>
    </row>
    <row r="25" spans="1:9" x14ac:dyDescent="0.25">
      <c r="A25" s="1"/>
      <c r="B25" s="102" t="s">
        <v>177</v>
      </c>
      <c r="C25" s="105"/>
      <c r="D25" s="105"/>
      <c r="E25" s="105"/>
      <c r="F25" s="106"/>
      <c r="G25" s="24">
        <f>G19*(1-'Fane 14. Nøgletal'!C20)*(1+'Fane 14. Nøgletal'!C11)</f>
        <v>1178941.0374635742</v>
      </c>
      <c r="H25" s="14" t="s">
        <v>3</v>
      </c>
      <c r="I25" s="1"/>
    </row>
    <row r="26" spans="1:9" x14ac:dyDescent="0.25">
      <c r="A26" s="1"/>
      <c r="B26" s="107" t="s">
        <v>88</v>
      </c>
      <c r="C26" s="105"/>
      <c r="D26" s="105"/>
      <c r="E26" s="105"/>
      <c r="F26" s="106"/>
      <c r="G26" s="24">
        <v>1078835.5987398003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1817882.6361400962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6" t="s">
        <v>90</v>
      </c>
      <c r="C30" s="97"/>
      <c r="D30" s="97"/>
      <c r="E30" s="97"/>
      <c r="F30" s="97"/>
      <c r="G30" s="97"/>
      <c r="H30" s="98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102600846.07322139</v>
      </c>
      <c r="H31" s="14" t="s">
        <v>3</v>
      </c>
      <c r="I31" s="1"/>
    </row>
    <row r="32" spans="1:9" x14ac:dyDescent="0.25">
      <c r="A32" s="1"/>
      <c r="B32" s="102" t="s">
        <v>178</v>
      </c>
      <c r="C32" s="105"/>
      <c r="D32" s="105"/>
      <c r="E32" s="105"/>
      <c r="F32" s="106"/>
      <c r="G32" s="24">
        <f>G25*(1-'Fane 14. Nøgletal'!C20)*(1+'Fane 14. Nøgletal'!C11)</f>
        <v>1188435.0142700372</v>
      </c>
      <c r="H32" s="14" t="s">
        <v>3</v>
      </c>
      <c r="I32" s="1"/>
    </row>
    <row r="33" spans="1:9" x14ac:dyDescent="0.25">
      <c r="A33" s="1"/>
      <c r="B33" s="102" t="s">
        <v>179</v>
      </c>
      <c r="C33" s="105"/>
      <c r="D33" s="105"/>
      <c r="E33" s="105"/>
      <c r="F33" s="106"/>
      <c r="G33" s="24">
        <f>G26*(1-'Fane 14. Nøgletal'!C21)*(1+'Fane 14. Nøgletal'!C12)</f>
        <v>1068846.1420899811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1931588.4168613199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1869894.3955516375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6" t="s">
        <v>101</v>
      </c>
      <c r="C38" s="97"/>
      <c r="D38" s="97"/>
      <c r="E38" s="97"/>
      <c r="F38" s="97"/>
      <c r="G38" s="97"/>
      <c r="H38" s="98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103915023.08368436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2857663.1348013198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6" t="s">
        <v>102</v>
      </c>
      <c r="C44" s="97"/>
      <c r="D44" s="97"/>
      <c r="E44" s="97"/>
      <c r="F44" s="97"/>
      <c r="G44" s="97"/>
      <c r="H44" s="98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102290259.74025941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2812982.1428571339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6" t="s">
        <v>245</v>
      </c>
      <c r="C51" s="97"/>
      <c r="D51" s="97"/>
      <c r="E51" s="97"/>
      <c r="F51" s="97"/>
      <c r="G51" s="97"/>
      <c r="H51" s="98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100690900.38409059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2768999.7605624911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BADVBjIi/dPyhgLs+EF5gulUjf/An1BOe7DznwQFw46SRZoz3pPyKsUWnCSCFZI89AHPQgMhMZasQxsSYMC5sA==" saltValue="LwhgyARxZlGSImD5xiZGQA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2.6407336322698781E-3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4" t="s">
        <v>152</v>
      </c>
      <c r="C12" s="85"/>
      <c r="D12" s="85"/>
      <c r="E12" s="85"/>
      <c r="F12" s="85"/>
      <c r="G12" s="85"/>
      <c r="H12" s="8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2020-09-09T09:22:02Z</dcterms:modified>
</cp:coreProperties>
</file>