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Kerteminde Forsyning - Vand AS (V11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<sst xmlns="http://schemas.openxmlformats.org/spreadsheetml/2006/main" count="512" uniqueCount="255">
  <si>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</si>
  <si>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</si>
  <si>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</si>
  <si>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</si>
  <si>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</si>
  <si>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</si>
  <si>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</si>
  <si>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</si>
  <si>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</si>
  <si>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</si>
  <si>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</si>
  <si>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</si>
  <si>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</si>
  <si>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</si>
  <si>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</si>
  <si>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</si>
  <si>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</si>
  <si>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</si>
  <si>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</si>
  <si>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</si>
  <si>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</si>
  <si>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</si>
  <si>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</si>
  <si>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</si>
  <si>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</si>
  <si>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</si>
  <si>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</si>
  <si>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</si>
  <si>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</si>
  <si>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</si>
  <si>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</si>
  <si>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</si>
  <si>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</si>
  <si>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</si>
  <si>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</si>
  <si>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</si>
  <si>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</si>
  <si>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</si>
  <si>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</si>
  <si>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</si>
  <si>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</si>
  <si>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</si>
  <si>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</si>
  <si>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</si>
  <si>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</si>
  <si>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</si>
  <si>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</si>
  <si>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</si>
  <si>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</si>
  <si>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</si>
  <si>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</si>
  <si>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</si>
  <si>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</si>
  <si>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</si>
  <si>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</si>
  <si>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</si>
  <si>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</si>
  <si>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</si>
  <si>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</si>
  <si>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</si>
  <si>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</si>
  <si>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</si>
  <si>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</si>
  <si>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</si>
  <si>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</si>
  <si>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</si>
  <si>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</si>
  <si>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</si>
  <si>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</si>
  <si>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</si>
  <si>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</si>
  <si>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</si>
  <si>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</si>
  <si>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</si>
  <si>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</si>
  <si>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</si>
  <si>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</si>
  <si>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</si>
  <si>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</si>
  <si>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</si>
  <si>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</si>
  <si>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</si>
  <si>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</si>
  <si>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</si>
  <si>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</si>
  <si>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</si>
  <si>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</si>
  <si>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</si>
  <si>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</si>
  <si>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</si>
  <si>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</si>
  <si>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</si>
  <si>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</si>
  <si>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</si>
  <si>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</si>
  <si>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</si>
  <si>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</si>
  <si>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</si>
  <si>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</si>
  <si>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</si>
  <si>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</si>
  <si>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</si>
  <si>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</si>
  <si>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</si>
  <si>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</si>
  <si>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</si>
  <si>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</si>
  <si>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</si>
  <si>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</si>
  <si>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</si>
  <si>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</si>
  <si>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</si>
  <si>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</si>
  <si>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</si>
  <si>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</si>
  <si>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</si>
  <si>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</si>
  <si>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</si>
  <si>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</si>
  <si>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</si>
  <si>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</si>
  <si>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</si>
  <si>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</si>
  <si>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</si>
  <si>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</si>
  <si>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</si>
  <si>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</si>
  <si>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</si>
  <si>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</si>
  <si>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</si>
  <si>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</si>
  <si>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</si>
  <si>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</si>
  <si>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</si>
  <si>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</si>
  <si>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</si>
  <si>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</si>
  <si>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</si>
  <si>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</si>
  <si>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</si>
  <si>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</si>
  <si>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</si>
  <si>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</si>
  <si>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</si>
  <si>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</si>
  <si>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</si>
  <si>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</si>
  <si>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</si>
  <si>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</si>
  <si>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</si>
  <si>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</si>
  <si>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</si>
  <si>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</si>
  <si>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</si>
  <si>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</si>
  <si>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</si>
  <si>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</si>
  <si>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</si>
  <si>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</si>
  <si>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</si>
  <si>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</si>
  <si>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</si>
  <si>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</si>
  <si>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</si>
  <si>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</si>
  <si>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</si>
  <si>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</si>
  <si>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</si>
  <si>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</si>
  <si>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</si>
  <si>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</si>
  <si>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</si>
  <si>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</si>
  <si>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</si>
  <si>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</si>
  <si>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</si>
  <si>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</si>
  <si>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</si>
  <si>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</si>
  <si>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</si>
  <si>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</si>
  <si>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</si>
  <si>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</si>
  <si>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</si>
  <si>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</si>
  <si>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</si>
  <si>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</si>
  <si>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</si>
  <si>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</si>
  <si>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</si>
  <si>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</si>
  <si>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</si>
  <si>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</si>
  <si>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</si>
  <si>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</si>
  <si>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</si>
  <si>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</si>
  <si>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</si>
  <si>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</si>
  <si>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</si>
  <si>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</si>
  <si>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</si>
  <si>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</si>
  <si>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</si>
  <si>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</si>
  <si>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</si>
  <si>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</si>
  <si>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</si>
  <si>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</si>
  <si>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</si>
  <si>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</si>
  <si>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</si>
  <si>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</si>
  <si>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</si>
  <si>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</si>
  <si>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</si>
  <si>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</si>
  <si>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</si>
  <si>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</si>
  <si>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</si>
  <si>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</si>
  <si>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</si>
  <si>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</si>
  <si>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</si>
  <si>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</si>
  <si>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</si>
  <si>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</si>
  <si>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</si>
  <si>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</si>
  <si>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</si>
  <si>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</si>
  <si>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</si>
  <si>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</si>
  <si>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</si>
  <si>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</si>
  <si>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</si>
  <si>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</si>
  <si>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</si>
  <si>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</si>
  <si>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</si>
  <si>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</si>
  <si>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</si>
  <si>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</si>
  <si>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</si>
  <si>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</si>
  <si>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</si>
  <si>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</si>
  <si>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</si>
  <si>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</si>
  <si>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</si>
  <si>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</si>
  <si>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Fjernaflæste målere</t>
  </si>
  <si>
    <t>Justering af den økonomiske ramme</t>
  </si>
  <si>
    <t>Ingen engangstillæg</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</si>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</sst>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2" t="s">
        <v>194</v>
      </c>
      <c r="E8" s="102"/>
      <c r="F8" s="102"/>
      <c r="G8" s="102"/>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1" t="s">
        <v>5</v>
      </c>
      <c r="E11" s="101"/>
      <c r="F11" s="101"/>
      <c r="G11" s="101"/>
      <c r="H11" s="5"/>
      <c r="I11" s="1"/>
    </row>
    <row r="12" spans="1:9" x14ac:dyDescent="0.25">
      <c r="A12" s="1"/>
      <c r="B12" s="1"/>
      <c r="C12" s="1"/>
      <c r="D12" s="1"/>
      <c r="E12" s="1"/>
      <c r="F12" s="1"/>
      <c r="G12" s="1"/>
      <c r="H12" s="1"/>
      <c r="I12" s="1"/>
    </row>
    <row r="13" spans="1:9" x14ac:dyDescent="0.25">
      <c r="A13" s="1"/>
      <c r="B13" s="1"/>
      <c r="C13" s="6" t="s">
        <v>6</v>
      </c>
      <c r="D13" s="97" t="s">
        <v>161</v>
      </c>
      <c r="E13" s="98"/>
      <c r="F13" s="98"/>
      <c r="G13" s="99"/>
      <c r="H13" s="1"/>
      <c r="I13" s="1"/>
    </row>
    <row r="14" spans="1:9" x14ac:dyDescent="0.25">
      <c r="A14" s="1"/>
      <c r="B14" s="1"/>
      <c r="C14" s="6" t="s">
        <v>14</v>
      </c>
      <c r="D14" s="97" t="s">
        <v>204</v>
      </c>
      <c r="E14" s="98"/>
      <c r="F14" s="98"/>
      <c r="G14" s="99"/>
      <c r="H14" s="1"/>
      <c r="I14" s="1"/>
    </row>
    <row r="15" spans="1:9" x14ac:dyDescent="0.25">
      <c r="A15" s="1"/>
      <c r="B15" s="1"/>
      <c r="C15" s="6" t="s">
        <v>32</v>
      </c>
      <c r="D15" s="97" t="s">
        <v>137</v>
      </c>
      <c r="E15" s="98"/>
      <c r="F15" s="98"/>
      <c r="G15" s="99"/>
      <c r="H15" s="1"/>
      <c r="I15" s="1"/>
    </row>
    <row r="16" spans="1:9" x14ac:dyDescent="0.25">
      <c r="A16" s="1"/>
      <c r="B16" s="1"/>
      <c r="C16" s="6" t="s">
        <v>33</v>
      </c>
      <c r="D16" s="97" t="s">
        <v>162</v>
      </c>
      <c r="E16" s="98"/>
      <c r="F16" s="98"/>
      <c r="G16" s="99"/>
      <c r="H16" s="1"/>
      <c r="I16" s="1"/>
    </row>
    <row r="17" spans="1:9" x14ac:dyDescent="0.25">
      <c r="A17" s="1"/>
      <c r="B17" s="1"/>
      <c r="C17" s="6" t="s">
        <v>110</v>
      </c>
      <c r="D17" s="97" t="s">
        <v>163</v>
      </c>
      <c r="E17" s="98"/>
      <c r="F17" s="98"/>
      <c r="G17" s="99"/>
      <c r="H17" s="1"/>
      <c r="I17" s="1"/>
    </row>
    <row r="18" spans="1:9" x14ac:dyDescent="0.25">
      <c r="A18" s="1"/>
      <c r="B18" s="1"/>
      <c r="C18" s="6" t="s">
        <v>94</v>
      </c>
      <c r="D18" s="103" t="s">
        <v>86</v>
      </c>
      <c r="E18" s="104"/>
      <c r="F18" s="104"/>
      <c r="G18" s="105"/>
      <c r="H18" s="1"/>
      <c r="I18" s="1"/>
    </row>
    <row r="19" spans="1:9" x14ac:dyDescent="0.25">
      <c r="A19" s="1"/>
      <c r="B19" s="1"/>
      <c r="C19" s="6" t="s">
        <v>95</v>
      </c>
      <c r="D19" s="103" t="s">
        <v>87</v>
      </c>
      <c r="E19" s="104"/>
      <c r="F19" s="104"/>
      <c r="G19" s="105"/>
      <c r="H19" s="1"/>
      <c r="I19" s="1"/>
    </row>
    <row r="20" spans="1:9" x14ac:dyDescent="0.25">
      <c r="A20" s="1"/>
      <c r="B20" s="1"/>
      <c r="C20" s="6" t="s">
        <v>7</v>
      </c>
      <c r="D20" s="103" t="s">
        <v>9</v>
      </c>
      <c r="E20" s="104"/>
      <c r="F20" s="104"/>
      <c r="G20" s="105"/>
      <c r="H20" s="1"/>
      <c r="I20" s="1"/>
    </row>
    <row r="21" spans="1:9" x14ac:dyDescent="0.25">
      <c r="A21" s="1"/>
      <c r="B21" s="1"/>
      <c r="C21" s="6" t="s">
        <v>96</v>
      </c>
      <c r="D21" s="94" t="s">
        <v>11</v>
      </c>
      <c r="E21" s="95"/>
      <c r="F21" s="95"/>
      <c r="G21" s="96"/>
      <c r="H21" s="1"/>
      <c r="I21" s="1"/>
    </row>
    <row r="22" spans="1:9" x14ac:dyDescent="0.25">
      <c r="A22" s="1"/>
      <c r="B22" s="1"/>
      <c r="C22" s="6" t="s">
        <v>78</v>
      </c>
      <c r="D22" s="88" t="s">
        <v>164</v>
      </c>
      <c r="E22" s="89"/>
      <c r="F22" s="89"/>
      <c r="G22" s="90"/>
      <c r="H22" s="1"/>
      <c r="I22" s="1"/>
    </row>
    <row r="23" spans="1:9" x14ac:dyDescent="0.25">
      <c r="A23" s="1"/>
      <c r="B23" s="1"/>
      <c r="C23" s="6" t="s">
        <v>8</v>
      </c>
      <c r="D23" s="88" t="s">
        <v>219</v>
      </c>
      <c r="E23" s="89"/>
      <c r="F23" s="89"/>
      <c r="G23" s="90"/>
      <c r="H23" s="1"/>
      <c r="I23" s="1"/>
    </row>
    <row r="24" spans="1:9" x14ac:dyDescent="0.25">
      <c r="A24" s="1"/>
      <c r="B24" s="1"/>
      <c r="C24" s="6" t="s">
        <v>215</v>
      </c>
      <c r="D24" s="88" t="s">
        <v>205</v>
      </c>
      <c r="E24" s="89"/>
      <c r="F24" s="89"/>
      <c r="G24" s="90"/>
      <c r="H24" s="1"/>
      <c r="I24" s="1"/>
    </row>
    <row r="25" spans="1:9" x14ac:dyDescent="0.25">
      <c r="A25" s="1"/>
      <c r="B25" s="1"/>
      <c r="C25" s="6" t="s">
        <v>216</v>
      </c>
      <c r="D25" s="88" t="s">
        <v>79</v>
      </c>
      <c r="E25" s="89"/>
      <c r="F25" s="89"/>
      <c r="G25" s="90"/>
      <c r="H25" s="1"/>
      <c r="I25" s="1"/>
    </row>
    <row r="26" spans="1:9" x14ac:dyDescent="0.25">
      <c r="A26" s="1"/>
      <c r="B26" s="1"/>
      <c r="C26" s="6" t="s">
        <v>217</v>
      </c>
      <c r="D26" s="88" t="s">
        <v>80</v>
      </c>
      <c r="E26" s="89"/>
      <c r="F26" s="89"/>
      <c r="G26" s="90"/>
      <c r="H26" s="1"/>
      <c r="I26" s="1"/>
    </row>
    <row r="27" spans="1:9" x14ac:dyDescent="0.25">
      <c r="A27" s="1"/>
      <c r="B27" s="1"/>
      <c r="C27" s="6" t="s">
        <v>97</v>
      </c>
      <c r="D27" s="88" t="s">
        <v>111</v>
      </c>
      <c r="E27" s="89"/>
      <c r="F27" s="89"/>
      <c r="G27" s="90"/>
      <c r="H27" s="1"/>
      <c r="I27" s="1"/>
    </row>
    <row r="28" spans="1:9" x14ac:dyDescent="0.25">
      <c r="A28" s="1"/>
      <c r="B28" s="1"/>
      <c r="C28" s="6" t="s">
        <v>91</v>
      </c>
      <c r="D28" s="88" t="s">
        <v>34</v>
      </c>
      <c r="E28" s="89"/>
      <c r="F28" s="89"/>
      <c r="G28" s="90"/>
      <c r="H28" s="1"/>
      <c r="I28" s="1"/>
    </row>
    <row r="29" spans="1:9" x14ac:dyDescent="0.25">
      <c r="A29" s="1"/>
      <c r="B29" s="1"/>
      <c r="C29" s="6" t="s">
        <v>218</v>
      </c>
      <c r="D29" s="91" t="s">
        <v>92</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0"/>
      <c r="B51" s="40"/>
      <c r="C51" s="40"/>
      <c r="D51" s="40"/>
      <c r="E51" s="40"/>
      <c r="F51" s="40"/>
      <c r="G51" s="40"/>
      <c r="H51" s="40"/>
      <c r="I51" s="40"/>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6" t="s">
        <v>100</v>
      </c>
      <c r="C3" s="106"/>
      <c r="D3" s="106"/>
      <c r="E3" s="1"/>
      <c r="F3" s="1"/>
    </row>
    <row r="4" spans="1:6" ht="15" customHeight="1" x14ac:dyDescent="0.25">
      <c r="A4" s="1"/>
      <c r="B4" s="106"/>
      <c r="C4" s="106"/>
      <c r="D4" s="10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181</v>
      </c>
      <c r="C8" s="130"/>
      <c r="D8" s="131"/>
      <c r="E8" s="1"/>
      <c r="F8" s="1"/>
    </row>
    <row r="9" spans="1:6" ht="15" customHeight="1" x14ac:dyDescent="0.25">
      <c r="A9" s="1"/>
      <c r="B9" s="33" t="s">
        <v>30</v>
      </c>
      <c r="C9" s="11" t="s">
        <v>212</v>
      </c>
      <c r="D9" s="11"/>
      <c r="E9" s="1"/>
      <c r="F9" s="1"/>
    </row>
    <row r="10" spans="1:6" x14ac:dyDescent="0.25">
      <c r="A10" s="1"/>
      <c r="B10" s="79" t="s">
        <v>231</v>
      </c>
      <c r="C10" s="9">
        <v>5691564</v>
      </c>
      <c r="D10" s="14" t="s">
        <v>3</v>
      </c>
      <c r="E10" s="1"/>
      <c r="F10" s="1"/>
    </row>
    <row r="11" spans="1:6" x14ac:dyDescent="0.25">
      <c r="A11" s="1"/>
      <c r="B11" s="79" t="s">
        <v>232</v>
      </c>
      <c r="C11" s="9">
        <v>74829</v>
      </c>
      <c r="D11" s="14" t="s">
        <v>3</v>
      </c>
      <c r="E11" s="1"/>
      <c r="F11" s="1"/>
    </row>
    <row r="12" spans="1:6" x14ac:dyDescent="0.25">
      <c r="A12" s="1"/>
      <c r="B12" s="79" t="s">
        <v>233</v>
      </c>
      <c r="C12" s="9">
        <v>2155532</v>
      </c>
      <c r="D12" s="14" t="s">
        <v>3</v>
      </c>
      <c r="E12" s="1"/>
      <c r="F12" s="1"/>
    </row>
    <row r="13" spans="1:6" x14ac:dyDescent="0.25">
      <c r="A13" s="1"/>
      <c r="B13" s="79" t="s">
        <v>234</v>
      </c>
      <c r="C13" s="9">
        <v>82262</v>
      </c>
      <c r="D13" s="14" t="s">
        <v>3</v>
      </c>
      <c r="E13" s="1"/>
      <c r="F13" s="1"/>
    </row>
    <row r="14" spans="1:6" x14ac:dyDescent="0.25">
      <c r="A14" s="1"/>
      <c r="B14" s="71" t="s">
        <v>182</v>
      </c>
      <c r="C14" s="12">
        <f>SUM(C10:C13)</f>
        <v>8004187</v>
      </c>
      <c r="D14" s="13" t="s">
        <v>3</v>
      </c>
      <c r="E14" s="1"/>
      <c r="F14" s="1"/>
    </row>
    <row r="15" spans="1:6" x14ac:dyDescent="0.25">
      <c r="A15" s="1"/>
      <c r="B15" s="71" t="s">
        <v>183</v>
      </c>
      <c r="C15" s="12">
        <f>C14*(1+'Fane 13. Nøgletal'!C15)^2</f>
        <v>8584229.300836321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184</v>
      </c>
      <c r="C3" s="114"/>
      <c r="D3" s="114"/>
      <c r="E3" s="114"/>
      <c r="F3" s="114"/>
      <c r="G3" s="1"/>
    </row>
    <row r="4" spans="1:7" ht="15" customHeight="1" x14ac:dyDescent="0.25">
      <c r="A4" s="1"/>
      <c r="B4" s="114"/>
      <c r="C4" s="114"/>
      <c r="D4" s="114"/>
      <c r="E4" s="114"/>
      <c r="F4" s="114"/>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9" t="s">
        <v>155</v>
      </c>
      <c r="C8" s="130"/>
      <c r="D8" s="130"/>
      <c r="E8" s="130"/>
      <c r="F8" s="131"/>
      <c r="G8" s="1"/>
    </row>
    <row r="9" spans="1:7" x14ac:dyDescent="0.25">
      <c r="A9" s="1"/>
      <c r="B9" s="132" t="s">
        <v>156</v>
      </c>
      <c r="C9" s="133"/>
      <c r="D9" s="134"/>
      <c r="E9" s="9">
        <v>-1254885</v>
      </c>
      <c r="F9" s="14" t="s">
        <v>3</v>
      </c>
      <c r="G9" s="1"/>
    </row>
    <row r="10" spans="1:7" x14ac:dyDescent="0.25">
      <c r="A10" s="1"/>
      <c r="B10" s="147" t="s">
        <v>235</v>
      </c>
      <c r="C10" s="148"/>
      <c r="D10" s="149"/>
      <c r="E10" s="9">
        <v>0</v>
      </c>
      <c r="F10" s="54" t="s">
        <v>3</v>
      </c>
      <c r="G10" s="1"/>
    </row>
    <row r="11" spans="1:7" x14ac:dyDescent="0.25">
      <c r="A11" s="1"/>
      <c r="B11" s="132" t="s">
        <v>185</v>
      </c>
      <c r="C11" s="133"/>
      <c r="D11" s="134"/>
      <c r="E11" s="9">
        <v>218358.69096060097</v>
      </c>
      <c r="F11" s="14" t="s">
        <v>3</v>
      </c>
      <c r="G11" s="1"/>
    </row>
    <row r="12" spans="1:7" x14ac:dyDescent="0.25">
      <c r="A12" s="1"/>
      <c r="B12" s="71"/>
      <c r="C12" s="72"/>
      <c r="D12" s="72"/>
      <c r="E12" s="72"/>
      <c r="F12" s="19"/>
      <c r="G12" s="1"/>
    </row>
    <row r="13" spans="1:7" ht="64.900000000000006" customHeight="1" x14ac:dyDescent="0.25">
      <c r="A13" s="1"/>
      <c r="B13" s="118" t="s">
        <v>250</v>
      </c>
      <c r="C13" s="119"/>
      <c r="D13" s="119"/>
      <c r="E13" s="119"/>
      <c r="F13" s="120"/>
      <c r="G13" s="1"/>
    </row>
    <row r="14" spans="1:7" ht="27" customHeight="1" x14ac:dyDescent="0.25">
      <c r="A14" s="1"/>
      <c r="B14" s="1"/>
      <c r="C14" s="1"/>
      <c r="D14" s="1"/>
      <c r="E14" s="1"/>
      <c r="F14" s="1"/>
      <c r="G14" s="1"/>
    </row>
    <row r="15" spans="1:7" ht="28.5" customHeight="1" x14ac:dyDescent="0.25">
      <c r="A15" s="1"/>
      <c r="B15" s="129" t="s">
        <v>157</v>
      </c>
      <c r="C15" s="130"/>
      <c r="D15" s="130"/>
      <c r="E15" s="130"/>
      <c r="F15" s="131"/>
      <c r="G15" s="1"/>
    </row>
    <row r="16" spans="1:7" x14ac:dyDescent="0.25">
      <c r="A16" s="1"/>
      <c r="B16" s="132" t="s">
        <v>236</v>
      </c>
      <c r="C16" s="133"/>
      <c r="D16" s="134"/>
      <c r="E16" s="9">
        <v>0</v>
      </c>
      <c r="F16" s="14" t="s">
        <v>3</v>
      </c>
      <c r="G16" s="1"/>
    </row>
    <row r="17" spans="1:7" x14ac:dyDescent="0.25">
      <c r="A17" s="1"/>
      <c r="B17" s="132" t="s">
        <v>237</v>
      </c>
      <c r="C17" s="133"/>
      <c r="D17" s="134"/>
      <c r="E17" s="9">
        <v>0</v>
      </c>
      <c r="F17" s="14" t="s">
        <v>3</v>
      </c>
      <c r="G17" s="1"/>
    </row>
    <row r="18" spans="1:7" x14ac:dyDescent="0.25">
      <c r="A18" s="1"/>
      <c r="B18" s="71"/>
      <c r="C18" s="72"/>
      <c r="D18" s="72"/>
      <c r="E18" s="72"/>
      <c r="F18" s="19"/>
      <c r="G18" s="1"/>
    </row>
    <row r="19" spans="1:7" ht="31.5" customHeight="1" x14ac:dyDescent="0.25">
      <c r="A19" s="1"/>
      <c r="B19" s="118" t="s">
        <v>158</v>
      </c>
      <c r="C19" s="119"/>
      <c r="D19" s="119"/>
      <c r="E19" s="119"/>
      <c r="F19" s="120"/>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238</v>
      </c>
      <c r="C22" s="77"/>
      <c r="D22" s="78"/>
      <c r="E22" s="9">
        <v>18680434.922616005</v>
      </c>
      <c r="F22" s="14" t="s">
        <v>3</v>
      </c>
      <c r="G22" s="1"/>
    </row>
    <row r="23" spans="1:7" x14ac:dyDescent="0.25">
      <c r="A23" s="1"/>
      <c r="B23" s="76" t="s">
        <v>187</v>
      </c>
      <c r="C23" s="77"/>
      <c r="D23" s="78"/>
      <c r="E23" s="9">
        <v>19155970</v>
      </c>
      <c r="F23" s="14" t="s">
        <v>3</v>
      </c>
      <c r="G23" s="1"/>
    </row>
    <row r="24" spans="1:7" x14ac:dyDescent="0.25">
      <c r="A24" s="1"/>
      <c r="B24" s="76" t="s">
        <v>31</v>
      </c>
      <c r="C24" s="77"/>
      <c r="D24" s="78"/>
      <c r="E24" s="9">
        <v>0</v>
      </c>
      <c r="F24" s="14" t="s">
        <v>3</v>
      </c>
      <c r="G24" s="1"/>
    </row>
    <row r="25" spans="1:7" x14ac:dyDescent="0.25">
      <c r="A25" s="1"/>
      <c r="B25" s="51" t="s">
        <v>254</v>
      </c>
      <c r="C25" s="52"/>
      <c r="D25" s="53"/>
      <c r="E25" s="57">
        <f>E22-(E23-E24)</f>
        <v>-475535.07738399506</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9" t="s">
        <v>239</v>
      </c>
      <c r="C28" s="130"/>
      <c r="D28" s="130"/>
      <c r="E28" s="130"/>
      <c r="F28" s="131"/>
      <c r="G28" s="1"/>
    </row>
    <row r="29" spans="1:7" x14ac:dyDescent="0.25">
      <c r="A29" s="1"/>
      <c r="B29" s="150" t="s">
        <v>128</v>
      </c>
      <c r="C29" s="151"/>
      <c r="D29" s="152"/>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-257176.38642339408</v>
      </c>
      <c r="F29" s="14" t="s">
        <v>3</v>
      </c>
      <c r="G29" s="1"/>
    </row>
    <row r="30" spans="1:7" x14ac:dyDescent="0.25">
      <c r="A30" s="1"/>
      <c r="B30" s="150" t="s">
        <v>93</v>
      </c>
      <c r="C30" s="151"/>
      <c r="D30" s="152"/>
      <c r="E30" s="9">
        <v>2</v>
      </c>
      <c r="F30" s="14" t="s">
        <v>18</v>
      </c>
      <c r="G30" s="1"/>
    </row>
    <row r="31" spans="1:7" x14ac:dyDescent="0.25">
      <c r="A31" s="1"/>
      <c r="B31" s="143" t="s">
        <v>127</v>
      </c>
      <c r="C31" s="143"/>
      <c r="D31" s="143"/>
      <c r="E31" s="10">
        <f>E29/E30</f>
        <v>-128588.19321169704</v>
      </c>
      <c r="F31" s="17" t="s">
        <v>3</v>
      </c>
      <c r="G31" s="1"/>
    </row>
    <row r="32" spans="1:7" x14ac:dyDescent="0.25">
      <c r="A32" s="1"/>
      <c r="B32" s="144"/>
      <c r="C32" s="145"/>
      <c r="D32" s="145"/>
      <c r="E32" s="145"/>
      <c r="F32" s="1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JJaGxnzQ2XVgCNTQaFGPESRsuEIG9Xc2QMTle8eu+rpFH9mvb5FSV4pywg2jnzgmgDEqFhkvUTVw70xHDB74eA==" saltValue="rBlLFEC9S3F8uA0kJ2uVm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6" t="s">
        <v>226</v>
      </c>
      <c r="C3" s="106"/>
      <c r="D3" s="106"/>
      <c r="E3" s="106"/>
      <c r="F3" s="106"/>
      <c r="G3" s="106"/>
      <c r="H3" s="106"/>
      <c r="I3" s="1"/>
    </row>
    <row r="4" spans="1:9" ht="15" customHeight="1" x14ac:dyDescent="0.25">
      <c r="A4" s="1"/>
      <c r="B4" s="106"/>
      <c r="C4" s="106"/>
      <c r="D4" s="106"/>
      <c r="E4" s="106"/>
      <c r="F4" s="106"/>
      <c r="G4" s="106"/>
      <c r="H4" s="10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227</v>
      </c>
      <c r="C8" s="130"/>
      <c r="D8" s="130"/>
      <c r="E8" s="130"/>
      <c r="F8" s="130"/>
      <c r="G8" s="130"/>
      <c r="H8" s="131"/>
      <c r="I8" s="1"/>
    </row>
    <row r="9" spans="1:9" ht="15" customHeight="1" x14ac:dyDescent="0.25">
      <c r="A9" s="1"/>
      <c r="B9" s="124" t="s">
        <v>228</v>
      </c>
      <c r="C9" s="125"/>
      <c r="D9" s="125"/>
      <c r="E9" s="125"/>
      <c r="F9" s="125"/>
      <c r="G9" s="125"/>
      <c r="H9" s="126"/>
      <c r="I9" s="1"/>
    </row>
    <row r="10" spans="1:9" x14ac:dyDescent="0.25">
      <c r="A10" s="1"/>
      <c r="B10" s="153" t="s">
        <v>242</v>
      </c>
      <c r="C10" s="154"/>
      <c r="D10" s="154"/>
      <c r="E10" s="154"/>
      <c r="F10" s="155"/>
      <c r="G10" s="56">
        <v>0</v>
      </c>
      <c r="H10" s="9" t="s">
        <v>3</v>
      </c>
      <c r="I10" s="1"/>
    </row>
    <row r="11" spans="1:9" x14ac:dyDescent="0.25">
      <c r="A11" s="1"/>
      <c r="B11" s="153" t="s">
        <v>243</v>
      </c>
      <c r="C11" s="154"/>
      <c r="D11" s="154"/>
      <c r="E11" s="154"/>
      <c r="F11" s="155"/>
      <c r="G11" s="56">
        <v>0</v>
      </c>
      <c r="H11" s="9" t="s">
        <v>3</v>
      </c>
      <c r="I11" s="1"/>
    </row>
    <row r="12" spans="1:9" x14ac:dyDescent="0.25">
      <c r="A12" s="1"/>
      <c r="B12" s="153" t="s">
        <v>244</v>
      </c>
      <c r="C12" s="154"/>
      <c r="D12" s="154"/>
      <c r="E12" s="154"/>
      <c r="F12" s="155"/>
      <c r="G12" s="9">
        <v>0</v>
      </c>
      <c r="H12" s="9" t="s">
        <v>3</v>
      </c>
      <c r="I12" s="1"/>
    </row>
    <row r="13" spans="1:9" x14ac:dyDescent="0.25">
      <c r="A13" s="1"/>
      <c r="B13" s="153" t="s">
        <v>245</v>
      </c>
      <c r="C13" s="154"/>
      <c r="D13" s="154"/>
      <c r="E13" s="154"/>
      <c r="F13" s="155"/>
      <c r="G13" s="9">
        <v>0</v>
      </c>
      <c r="H13" s="9" t="s">
        <v>3</v>
      </c>
      <c r="I13" s="1"/>
    </row>
    <row r="14" spans="1:9" x14ac:dyDescent="0.25">
      <c r="A14" s="1"/>
      <c r="B14" s="153" t="s">
        <v>246</v>
      </c>
      <c r="C14" s="154"/>
      <c r="D14" s="154"/>
      <c r="E14" s="154"/>
      <c r="F14" s="155"/>
      <c r="G14" s="9">
        <v>0</v>
      </c>
      <c r="H14" s="9" t="s">
        <v>3</v>
      </c>
      <c r="I14" s="1"/>
    </row>
    <row r="15" spans="1:9" x14ac:dyDescent="0.25">
      <c r="A15" s="1"/>
      <c r="B15" s="153" t="s">
        <v>247</v>
      </c>
      <c r="C15" s="154"/>
      <c r="D15" s="154"/>
      <c r="E15" s="154"/>
      <c r="F15" s="155"/>
      <c r="G15" s="9">
        <v>0</v>
      </c>
      <c r="H15" s="9" t="s">
        <v>3</v>
      </c>
      <c r="I15" s="1"/>
    </row>
    <row r="16" spans="1:9" x14ac:dyDescent="0.25">
      <c r="A16" s="1"/>
      <c r="B16" s="153" t="s">
        <v>248</v>
      </c>
      <c r="C16" s="154"/>
      <c r="D16" s="154"/>
      <c r="E16" s="154"/>
      <c r="F16" s="155"/>
      <c r="G16" s="9">
        <v>0</v>
      </c>
      <c r="H16" s="9" t="s">
        <v>3</v>
      </c>
      <c r="I16" s="1"/>
    </row>
    <row r="17" spans="1:9" x14ac:dyDescent="0.25">
      <c r="A17" s="1"/>
      <c r="B17" s="153" t="s">
        <v>249</v>
      </c>
      <c r="C17" s="154"/>
      <c r="D17" s="154"/>
      <c r="E17" s="154"/>
      <c r="F17" s="155"/>
      <c r="G17" s="9">
        <v>0</v>
      </c>
      <c r="H17" s="9" t="s">
        <v>3</v>
      </c>
      <c r="I17" s="1"/>
    </row>
    <row r="18" spans="1:9" x14ac:dyDescent="0.25">
      <c r="A18" s="1"/>
      <c r="B18" s="129" t="s">
        <v>229</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LzgkcuGVl0hGEPvoRE9ntzvk2hv0gC0KJxN6GkoB68RqJ87mFXtaRxzTKGOYrraUm586XQ4QmrPSVZjVifJX1g==" saltValue="UVQv8jf74IURZbcWxMW/V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4.5703125" style="2" customWidth="1"/>
    <col min="6" max="6" width="10" style="2" customWidth="1"/>
    <col min="7" max="7" width="2.7109375" style="2" customWidth="1"/>
    <col min="8" max="8" width="10" style="2" customWidth="1"/>
    <col min="9" max="9" width="2.7109375" style="2" customWidth="1"/>
    <col min="10" max="10" width="8.7109375" style="2" customWidth="1"/>
    <col min="11" max="11" width="2.7109375"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220</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192</v>
      </c>
      <c r="C8" s="130"/>
      <c r="D8" s="130"/>
      <c r="E8" s="130"/>
      <c r="F8" s="130"/>
      <c r="G8" s="130"/>
      <c r="H8" s="130"/>
      <c r="I8" s="130"/>
      <c r="J8" s="130"/>
      <c r="K8" s="131"/>
      <c r="L8" s="1"/>
    </row>
    <row r="9" spans="1:12" ht="39.75" customHeight="1" x14ac:dyDescent="0.25">
      <c r="A9" s="1"/>
      <c r="B9" s="18" t="s">
        <v>0</v>
      </c>
      <c r="C9" s="18" t="s">
        <v>1</v>
      </c>
      <c r="D9" s="156" t="s">
        <v>213</v>
      </c>
      <c r="E9" s="157"/>
      <c r="F9" s="156" t="s">
        <v>2</v>
      </c>
      <c r="G9" s="157"/>
      <c r="H9" s="156" t="s">
        <v>214</v>
      </c>
      <c r="I9" s="157"/>
      <c r="J9" s="156" t="s">
        <v>28</v>
      </c>
      <c r="K9" s="157"/>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row r="53" spans="1:12" x14ac:dyDescent="0.25">
      <c r="A53" s="55"/>
      <c r="B53" s="55"/>
      <c r="C53" s="55"/>
      <c r="D53" s="55"/>
      <c r="E53" s="55"/>
      <c r="F53" s="55"/>
      <c r="G53" s="55"/>
      <c r="H53" s="55"/>
      <c r="I53" s="55"/>
      <c r="J53" s="55"/>
      <c r="K53" s="55"/>
      <c r="L53"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5"/>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221</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251</v>
      </c>
      <c r="C11" s="21">
        <v>327386</v>
      </c>
      <c r="D11" s="14" t="s">
        <v>3</v>
      </c>
      <c r="E11" s="9">
        <v>648550</v>
      </c>
      <c r="F11" s="14" t="s">
        <v>3</v>
      </c>
      <c r="G11" s="1"/>
    </row>
    <row r="12" spans="1:7" x14ac:dyDescent="0.25">
      <c r="A12" s="1"/>
      <c r="B12" s="26" t="s">
        <v>252</v>
      </c>
      <c r="C12" s="21">
        <v>878799</v>
      </c>
      <c r="D12" s="14" t="s">
        <v>3</v>
      </c>
      <c r="E12" s="9">
        <v>0</v>
      </c>
      <c r="F12" s="14" t="s">
        <v>3</v>
      </c>
      <c r="G12" s="1"/>
    </row>
    <row r="13" spans="1:7" x14ac:dyDescent="0.25">
      <c r="A13" s="1"/>
      <c r="B13" s="71" t="s">
        <v>148</v>
      </c>
      <c r="C13" s="12">
        <f>SUM(C10:C12)</f>
        <v>1206185</v>
      </c>
      <c r="D13" s="13" t="s">
        <v>3</v>
      </c>
      <c r="E13" s="12">
        <f>SUM(E10:E12)</f>
        <v>648550</v>
      </c>
      <c r="F13" s="13" t="s">
        <v>3</v>
      </c>
      <c r="G13" s="1"/>
    </row>
    <row r="14" spans="1:7" x14ac:dyDescent="0.25">
      <c r="A14" s="1"/>
      <c r="B14" s="71" t="s">
        <v>188</v>
      </c>
      <c r="C14" s="12">
        <f>C13*(1+'Fane 13. Nøgletal'!C15)</f>
        <v>1249125.186</v>
      </c>
      <c r="D14" s="13" t="s">
        <v>3</v>
      </c>
      <c r="E14" s="12">
        <f>E13*(1+'Fane 13. Nøgletal'!C15)</f>
        <v>671638.38</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55"/>
      <c r="B51" s="55"/>
      <c r="C51" s="55"/>
      <c r="D51" s="55"/>
      <c r="E51" s="55"/>
      <c r="F51" s="55"/>
      <c r="G51" s="55"/>
    </row>
    <row r="52" spans="1:7" x14ac:dyDescent="0.25">
      <c r="A52" s="55"/>
      <c r="B52" s="55"/>
      <c r="C52" s="55"/>
      <c r="D52" s="55"/>
      <c r="E52" s="55"/>
      <c r="F52" s="55"/>
      <c r="G52" s="55"/>
    </row>
    <row r="53" spans="1:7" x14ac:dyDescent="0.25">
      <c r="A53" s="55"/>
      <c r="B53" s="55"/>
      <c r="C53" s="55"/>
      <c r="D53" s="55"/>
      <c r="E53" s="55"/>
      <c r="F53" s="55"/>
      <c r="G53" s="55"/>
    </row>
    <row r="54" spans="1:7" x14ac:dyDescent="0.25">
      <c r="A54" s="55"/>
      <c r="B54" s="55"/>
      <c r="C54" s="55"/>
      <c r="D54" s="55"/>
      <c r="E54" s="55"/>
      <c r="F54" s="55"/>
      <c r="G54" s="55"/>
    </row>
    <row r="55" spans="1:7" x14ac:dyDescent="0.25">
      <c r="A55" s="55"/>
      <c r="B55" s="55"/>
      <c r="C55" s="55"/>
      <c r="D55" s="55"/>
      <c r="E55" s="55"/>
      <c r="F55" s="55"/>
      <c r="G55" s="55"/>
    </row>
  </sheetData>
  <sheetProtection algorithmName="SHA-512" hashValue="quoLNumZQ1UX53/nU42sOBjyOwTM7UsgLE6+4BRYWnR2Ca/v2lEpSCV8qO2VjSu5H/W1h3gnnNz5zjKWW5ip+Q==" saltValue="tFjvPZm3BZCROoF8RK9z1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222</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9" t="s">
        <v>88</v>
      </c>
      <c r="C9" s="130"/>
      <c r="D9" s="130"/>
      <c r="E9" s="130"/>
      <c r="F9" s="131"/>
      <c r="G9" s="1"/>
    </row>
    <row r="10" spans="1:7" ht="26.25" x14ac:dyDescent="0.25">
      <c r="A10" s="1"/>
      <c r="B10" s="69" t="s">
        <v>15</v>
      </c>
      <c r="C10" s="69" t="s">
        <v>10</v>
      </c>
      <c r="D10" s="70"/>
      <c r="E10" s="69" t="s">
        <v>29</v>
      </c>
      <c r="F10" s="66"/>
      <c r="G10" s="1"/>
    </row>
    <row r="11" spans="1:7" x14ac:dyDescent="0.25">
      <c r="A11" s="1"/>
      <c r="B11" s="22" t="s">
        <v>253</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Yg0KAG/Pt6kpj55dDl5v50OsVH03eMHOLuQnzYBxpxsqSo4jqtILpzn+yKmvyrvg7sYyCFabRYp4pjG0AKWqFw==" saltValue="tJA8qID99/r4n+XsKOnbh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223</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112</v>
      </c>
      <c r="C8" s="130"/>
      <c r="D8" s="130"/>
      <c r="E8" s="130"/>
      <c r="F8" s="131"/>
      <c r="G8" s="1"/>
    </row>
    <row r="9" spans="1:7" ht="15" customHeight="1" x14ac:dyDescent="0.25">
      <c r="A9" s="1"/>
      <c r="B9" s="65" t="s">
        <v>113</v>
      </c>
      <c r="C9" s="124" t="s">
        <v>10</v>
      </c>
      <c r="D9" s="126"/>
      <c r="E9" s="124" t="s">
        <v>29</v>
      </c>
      <c r="F9" s="126"/>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2.85546875" style="2" customWidth="1"/>
    <col min="5" max="5" width="17.28515625" style="2" customWidth="1"/>
    <col min="6" max="6" width="3.8554687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224</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9" t="s">
        <v>85</v>
      </c>
      <c r="C10" s="130"/>
      <c r="D10" s="130"/>
      <c r="E10" s="130"/>
      <c r="F10" s="131"/>
      <c r="G10" s="1"/>
    </row>
    <row r="11" spans="1:7" ht="26.25" x14ac:dyDescent="0.25">
      <c r="A11" s="1"/>
      <c r="B11" s="65" t="s">
        <v>16</v>
      </c>
      <c r="C11" s="65" t="s">
        <v>10</v>
      </c>
      <c r="D11" s="66"/>
      <c r="E11" s="65" t="s">
        <v>29</v>
      </c>
      <c r="F11" s="66"/>
      <c r="G11" s="1"/>
    </row>
    <row r="12" spans="1:7" x14ac:dyDescent="0.25">
      <c r="A12" s="1"/>
      <c r="B12" s="22" t="s">
        <v>241</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4" t="s">
        <v>225</v>
      </c>
      <c r="C3" s="114"/>
      <c r="D3" s="1"/>
    </row>
    <row r="4" spans="1:4" ht="25.5" customHeight="1" x14ac:dyDescent="0.25">
      <c r="A4" s="1"/>
      <c r="B4" s="114"/>
      <c r="C4" s="114"/>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9"/>
      <c r="C16" s="131"/>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7"/>
      <c r="D50" s="55"/>
    </row>
    <row r="51" spans="1:4" x14ac:dyDescent="0.25">
      <c r="A51" s="55"/>
      <c r="B51" s="55"/>
      <c r="C51" s="87"/>
      <c r="D51" s="55"/>
    </row>
    <row r="52" spans="1:4" x14ac:dyDescent="0.25">
      <c r="A52" s="55"/>
      <c r="B52" s="55"/>
      <c r="C52" s="87"/>
      <c r="D52" s="55"/>
    </row>
    <row r="53" spans="1:4" x14ac:dyDescent="0.25">
      <c r="A53" s="55"/>
      <c r="B53" s="55"/>
      <c r="C53" s="87"/>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6" t="s">
        <v>165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10375146.833067467</v>
      </c>
      <c r="D8" s="8" t="s">
        <v>3</v>
      </c>
      <c r="E8" s="1"/>
    </row>
    <row r="9" spans="1:5" ht="17.25" customHeight="1" x14ac:dyDescent="0.25">
      <c r="A9" s="1"/>
      <c r="B9" s="23" t="s">
        <v>35</v>
      </c>
      <c r="C9" s="7">
        <f>'Fane 10.1. Varige tillæg'!C14</f>
        <v>1249125.186</v>
      </c>
      <c r="D9" s="8" t="s">
        <v>3</v>
      </c>
      <c r="E9" s="1"/>
    </row>
    <row r="10" spans="1:5" ht="17.25" customHeight="1" x14ac:dyDescent="0.25">
      <c r="A10" s="1"/>
      <c r="B10" s="23" t="s">
        <v>36</v>
      </c>
      <c r="C10" s="9">
        <f>'Fane 10.1. Varige tillæg'!E14</f>
        <v>671638.38</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437734.4102068019</v>
      </c>
      <c r="D15" s="8" t="s">
        <v>3</v>
      </c>
      <c r="E15" s="1"/>
    </row>
    <row r="16" spans="1:5" ht="17.25" customHeight="1" x14ac:dyDescent="0.25">
      <c r="A16" s="1"/>
      <c r="B16" s="23" t="s">
        <v>9</v>
      </c>
      <c r="C16" s="9">
        <f>-SUM(C8,C9:C15)*'Fane 5. Individuelt eff. krav'!G9</f>
        <v>-137289.48503356849</v>
      </c>
      <c r="D16" s="8" t="s">
        <v>3</v>
      </c>
      <c r="E16" s="1"/>
    </row>
    <row r="17" spans="1:5" ht="17.25" customHeight="1" x14ac:dyDescent="0.25">
      <c r="A17" s="1"/>
      <c r="B17" s="23" t="s">
        <v>23</v>
      </c>
      <c r="C17" s="9">
        <f>-'Fane 4.1. Gen. krav - drift'!G43</f>
        <v>-145640.69715290333</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12450714.6270878</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omk.'!C15</f>
        <v>8584229.300836321</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-128588.19321169704</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20906355.734712422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omu3ZddMaDfsO+l88v/UY0eszM0FymOXL9EwOkcuIC3Zn8B7MiLI9D59GcD2yJDLqHMfdEfPJMHVCsqBOHOWdQ==" saltValue="UCyE9DGL8BCG2EJ7L0V+N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6" t="s">
        <v>166</v>
      </c>
      <c r="C3" s="106"/>
      <c r="D3" s="106"/>
      <c r="E3" s="1"/>
    </row>
    <row r="4" spans="1:5" ht="15" customHeight="1" x14ac:dyDescent="0.25">
      <c r="A4" s="1"/>
      <c r="B4" s="106"/>
      <c r="C4" s="106"/>
      <c r="D4" s="106"/>
      <c r="E4" s="1"/>
    </row>
    <row r="5" spans="1:5" x14ac:dyDescent="0.25">
      <c r="A5" s="1"/>
      <c r="B5" s="107"/>
      <c r="C5" s="107"/>
      <c r="D5" s="107"/>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12450714.6270878</v>
      </c>
      <c r="D8" s="8" t="s">
        <v>3</v>
      </c>
      <c r="E8" s="1"/>
    </row>
    <row r="9" spans="1:5" ht="15" customHeight="1" x14ac:dyDescent="0.25">
      <c r="A9" s="1"/>
      <c r="B9" s="64" t="s">
        <v>17</v>
      </c>
      <c r="C9" s="9">
        <f>SUM(C8:C8)*'Fane 13. Nøgletal'!C15</f>
        <v>443245.44072432566</v>
      </c>
      <c r="D9" s="8" t="s">
        <v>3</v>
      </c>
      <c r="E9" s="1"/>
    </row>
    <row r="10" spans="1:5" ht="15" customHeight="1" x14ac:dyDescent="0.25">
      <c r="A10" s="1"/>
      <c r="B10" s="64" t="s">
        <v>9</v>
      </c>
      <c r="C10" s="9">
        <f>-SUM(C8:C9)*'Fane 5. Individuelt eff. krav'!G9</f>
        <v>-139017.94531476428</v>
      </c>
      <c r="D10" s="8" t="s">
        <v>3</v>
      </c>
      <c r="E10" s="1"/>
    </row>
    <row r="11" spans="1:5" ht="15" customHeight="1" x14ac:dyDescent="0.25">
      <c r="A11" s="1"/>
      <c r="B11" s="64" t="s">
        <v>23</v>
      </c>
      <c r="C11" s="9">
        <f>-'Fane 4.1. Gen. krav - drift'!G48</f>
        <v>-147808.99585211577</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12607133.126645245</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f>
        <v>8889827.8639460951</v>
      </c>
      <c r="D15" s="11" t="s">
        <v>3</v>
      </c>
      <c r="E15" s="1"/>
    </row>
    <row r="16" spans="1:5" x14ac:dyDescent="0.25">
      <c r="A16" s="1"/>
      <c r="B16" s="25" t="s">
        <v>128</v>
      </c>
      <c r="C16" s="72"/>
      <c r="D16" s="19"/>
      <c r="E16" s="1"/>
    </row>
    <row r="17" spans="1:5" ht="15" customHeight="1" x14ac:dyDescent="0.25">
      <c r="A17" s="1"/>
      <c r="B17" s="80" t="s">
        <v>129</v>
      </c>
      <c r="C17" s="10">
        <f>'Fane 7. Kontrol af ØR2021'!E31</f>
        <v>-128588.19321169704</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21368372.797379643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4KtvOWMj5TGt4tCB1y/I+rkryoo4PpqyGkklyx/RIPVeZJjORJ+gAVOw7SAoPcZeSmeVlyy0a4bQ48lKumJz1Q==" saltValue="6aXDsTDfzUtVUeSYLnEL0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6" t="s">
        <v>167</v>
      </c>
      <c r="C3" s="106"/>
      <c r="D3" s="106"/>
      <c r="E3" s="1"/>
    </row>
    <row r="4" spans="1:5" ht="15" customHeight="1" x14ac:dyDescent="0.25">
      <c r="A4" s="1"/>
      <c r="B4" s="106"/>
      <c r="C4" s="106"/>
      <c r="D4" s="106"/>
      <c r="E4" s="1"/>
    </row>
    <row r="5" spans="1:5" x14ac:dyDescent="0.25">
      <c r="A5" s="1"/>
      <c r="B5" s="107" t="s">
        <v>20</v>
      </c>
      <c r="C5" s="107"/>
      <c r="D5" s="107"/>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12607133.126645245</v>
      </c>
      <c r="D8" s="8" t="s">
        <v>3</v>
      </c>
      <c r="E8" s="1"/>
    </row>
    <row r="9" spans="1:5" ht="15" customHeight="1" x14ac:dyDescent="0.25">
      <c r="A9" s="1"/>
      <c r="B9" s="64" t="s">
        <v>17</v>
      </c>
      <c r="C9" s="9">
        <f>SUM(C8:C8)*'Fane 13. Nøgletal'!C15</f>
        <v>448813.9393085707</v>
      </c>
      <c r="D9" s="8" t="s">
        <v>3</v>
      </c>
      <c r="E9" s="1"/>
    </row>
    <row r="10" spans="1:5" ht="15" customHeight="1" x14ac:dyDescent="0.25">
      <c r="A10" s="1"/>
      <c r="B10" s="64" t="s">
        <v>9</v>
      </c>
      <c r="C10" s="9">
        <f>-SUM(C8:C9)*'Fane 5. Individuelt eff. krav'!G9</f>
        <v>-140764.42967883329</v>
      </c>
      <c r="D10" s="8" t="s">
        <v>3</v>
      </c>
      <c r="E10" s="1"/>
    </row>
    <row r="11" spans="1:5" ht="15" customHeight="1" x14ac:dyDescent="0.25">
      <c r="A11" s="1"/>
      <c r="B11" s="64" t="s">
        <v>23</v>
      </c>
      <c r="C11" s="9">
        <f>-'Fane 4.1. Gen. krav - drift'!G53</f>
        <v>-150009.5761823621</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12765173.060092621</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Nøgletal'!C15)^2</f>
        <v>9206305.7359025758</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21971478.795995198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8M4UQBJo4r54JiNtqCkbtxGg3n+JDr5A4yCWW9ZUptU5Lt5mLkpASUQRVN6lSX80cu0ksO8jba980cExqiwU/Q==" saltValue="pkx4/cksE/wDq/52lxPPq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6" t="s">
        <v>168</v>
      </c>
      <c r="C3" s="106"/>
      <c r="D3" s="106"/>
      <c r="E3" s="1"/>
    </row>
    <row r="4" spans="1:5" ht="15" customHeight="1" x14ac:dyDescent="0.25">
      <c r="A4" s="1"/>
      <c r="B4" s="106"/>
      <c r="C4" s="106"/>
      <c r="D4" s="106"/>
      <c r="E4" s="1"/>
    </row>
    <row r="5" spans="1:5" x14ac:dyDescent="0.25">
      <c r="A5" s="1"/>
      <c r="B5" s="107" t="s">
        <v>20</v>
      </c>
      <c r="C5" s="107"/>
      <c r="D5" s="107"/>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12765173.060092621</v>
      </c>
      <c r="D8" s="8" t="s">
        <v>3</v>
      </c>
      <c r="E8" s="1"/>
    </row>
    <row r="9" spans="1:5" ht="15" customHeight="1" x14ac:dyDescent="0.25">
      <c r="A9" s="1"/>
      <c r="B9" s="64" t="s">
        <v>17</v>
      </c>
      <c r="C9" s="9">
        <f>SUM(C8:C8)*'Fane 13. Nøgletal'!C15</f>
        <v>454440.16093929729</v>
      </c>
      <c r="D9" s="8" t="s">
        <v>3</v>
      </c>
      <c r="E9" s="1"/>
    </row>
    <row r="10" spans="1:5" ht="15" customHeight="1" x14ac:dyDescent="0.25">
      <c r="A10" s="1"/>
      <c r="B10" s="64" t="s">
        <v>9</v>
      </c>
      <c r="C10" s="9">
        <f>-SUM(C8:C9)*'Fane 5. Individuelt eff. krav'!G9</f>
        <v>-142529.0180967332</v>
      </c>
      <c r="D10" s="8" t="s">
        <v>3</v>
      </c>
      <c r="E10" s="1"/>
    </row>
    <row r="11" spans="1:5" ht="15" customHeight="1" x14ac:dyDescent="0.25">
      <c r="A11" s="1"/>
      <c r="B11" s="64" t="s">
        <v>23</v>
      </c>
      <c r="C11" s="9">
        <f>-'Fane 4.1. Gen. krav - drift'!G58</f>
        <v>-152242.91875256511</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12924841.284182617</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Nøgletal'!C15)^3</f>
        <v>9534050.2201007083</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22458891.504283324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0RCPr7rBn81A4nb025mmV1wkrQF1g/WmC6G7n3Bc6orUEe1kJEwcv3hyE2UX5vI+N7qx8dBpoHBexW1dijU/zw==" saltValue="F30Y/0XO/JT9P6DeZJT3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171</v>
      </c>
      <c r="C3" s="114"/>
      <c r="D3" s="114"/>
      <c r="E3" s="114"/>
      <c r="F3" s="114"/>
      <c r="G3" s="1"/>
    </row>
    <row r="4" spans="1:7" ht="29.2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15" t="s">
        <v>22</v>
      </c>
      <c r="C9" s="116"/>
      <c r="D9" s="117"/>
      <c r="E9" s="7">
        <v>10365397.348748645</v>
      </c>
      <c r="F9" s="8" t="s">
        <v>3</v>
      </c>
      <c r="G9" s="1"/>
    </row>
    <row r="10" spans="1:7" ht="15" customHeight="1" x14ac:dyDescent="0.25">
      <c r="A10" s="1"/>
      <c r="B10" s="108" t="s">
        <v>35</v>
      </c>
      <c r="C10" s="109"/>
      <c r="D10" s="110"/>
      <c r="E10" s="9">
        <v>0</v>
      </c>
      <c r="F10" s="8" t="s">
        <v>3</v>
      </c>
      <c r="G10" s="1"/>
    </row>
    <row r="11" spans="1:7" ht="15" customHeight="1" x14ac:dyDescent="0.25">
      <c r="A11" s="1"/>
      <c r="B11" s="108" t="s">
        <v>36</v>
      </c>
      <c r="C11" s="109"/>
      <c r="D11" s="110"/>
      <c r="E11" s="9">
        <v>132306.17430000001</v>
      </c>
      <c r="F11" s="8" t="s">
        <v>3</v>
      </c>
      <c r="G11" s="1"/>
    </row>
    <row r="12" spans="1:7" x14ac:dyDescent="0.25">
      <c r="A12" s="1"/>
      <c r="B12" s="108" t="s">
        <v>26</v>
      </c>
      <c r="C12" s="109"/>
      <c r="D12" s="110"/>
      <c r="E12" s="9">
        <v>0</v>
      </c>
      <c r="F12" s="8" t="s">
        <v>3</v>
      </c>
      <c r="G12" s="1"/>
    </row>
    <row r="13" spans="1:7" x14ac:dyDescent="0.25">
      <c r="A13" s="1"/>
      <c r="B13" s="108" t="s">
        <v>25</v>
      </c>
      <c r="C13" s="109"/>
      <c r="D13" s="110"/>
      <c r="E13" s="9">
        <v>0</v>
      </c>
      <c r="F13" s="8" t="s">
        <v>3</v>
      </c>
      <c r="G13" s="1"/>
    </row>
    <row r="14" spans="1:7" x14ac:dyDescent="0.25">
      <c r="A14" s="1"/>
      <c r="B14" s="108" t="s">
        <v>114</v>
      </c>
      <c r="C14" s="109"/>
      <c r="D14" s="110"/>
      <c r="E14" s="9">
        <v>0</v>
      </c>
      <c r="F14" s="8" t="s">
        <v>3</v>
      </c>
      <c r="G14" s="1"/>
    </row>
    <row r="15" spans="1:7" x14ac:dyDescent="0.25">
      <c r="A15" s="1"/>
      <c r="B15" s="108" t="s">
        <v>115</v>
      </c>
      <c r="C15" s="109"/>
      <c r="D15" s="110"/>
      <c r="E15" s="9">
        <v>0</v>
      </c>
      <c r="F15" s="8" t="s">
        <v>3</v>
      </c>
      <c r="G15" s="1"/>
    </row>
    <row r="16" spans="1:7" x14ac:dyDescent="0.25">
      <c r="A16" s="1"/>
      <c r="B16" s="108" t="s">
        <v>17</v>
      </c>
      <c r="C16" s="109"/>
      <c r="D16" s="110"/>
      <c r="E16" s="9">
        <v>126894.45802992348</v>
      </c>
      <c r="F16" s="8" t="s">
        <v>3</v>
      </c>
      <c r="G16" s="30"/>
    </row>
    <row r="17" spans="1:7" x14ac:dyDescent="0.25">
      <c r="A17" s="1"/>
      <c r="B17" s="108" t="s">
        <v>9</v>
      </c>
      <c r="C17" s="109"/>
      <c r="D17" s="110"/>
      <c r="E17" s="9">
        <v>0</v>
      </c>
      <c r="F17" s="8" t="s">
        <v>3</v>
      </c>
      <c r="G17" s="1"/>
    </row>
    <row r="18" spans="1:7" x14ac:dyDescent="0.25">
      <c r="A18" s="1"/>
      <c r="B18" s="108" t="s">
        <v>23</v>
      </c>
      <c r="C18" s="109"/>
      <c r="D18" s="110"/>
      <c r="E18" s="9">
        <v>-118011.85579144827</v>
      </c>
      <c r="F18" s="8" t="s">
        <v>3</v>
      </c>
      <c r="G18" s="1"/>
    </row>
    <row r="19" spans="1:7" x14ac:dyDescent="0.25">
      <c r="A19" s="1"/>
      <c r="B19" s="108" t="s">
        <v>24</v>
      </c>
      <c r="C19" s="109"/>
      <c r="D19" s="110"/>
      <c r="E19" s="9">
        <v>-131439.2922196532</v>
      </c>
      <c r="F19" s="8" t="s">
        <v>3</v>
      </c>
      <c r="G19" s="1"/>
    </row>
    <row r="20" spans="1:7" x14ac:dyDescent="0.25">
      <c r="A20" s="1"/>
      <c r="B20" s="121" t="s">
        <v>19</v>
      </c>
      <c r="C20" s="122"/>
      <c r="D20" s="123"/>
      <c r="E20" s="31">
        <f>SUM(E9:E19)</f>
        <v>10375146.833067467</v>
      </c>
      <c r="F20" s="34" t="s">
        <v>3</v>
      </c>
      <c r="G20" s="1"/>
    </row>
    <row r="21" spans="1:7" x14ac:dyDescent="0.25">
      <c r="A21" s="1"/>
      <c r="B21" s="71" t="s">
        <v>11</v>
      </c>
      <c r="C21" s="72"/>
      <c r="D21" s="72"/>
      <c r="E21" s="72"/>
      <c r="F21" s="19"/>
      <c r="G21" s="1"/>
    </row>
    <row r="22" spans="1:7" x14ac:dyDescent="0.25">
      <c r="A22" s="1"/>
      <c r="B22" s="111" t="s">
        <v>11</v>
      </c>
      <c r="C22" s="112"/>
      <c r="D22" s="113"/>
      <c r="E22" s="10">
        <v>7766873.734769851</v>
      </c>
      <c r="F22" s="11" t="s">
        <v>3</v>
      </c>
      <c r="G22" s="1"/>
    </row>
    <row r="23" spans="1:7" ht="15" customHeight="1" x14ac:dyDescent="0.25">
      <c r="A23" s="1"/>
      <c r="B23" s="127" t="s">
        <v>80</v>
      </c>
      <c r="C23" s="128"/>
      <c r="D23" s="128"/>
      <c r="E23" s="72"/>
      <c r="F23" s="72"/>
      <c r="G23" s="1"/>
    </row>
    <row r="24" spans="1:7" ht="14.25" customHeight="1" x14ac:dyDescent="0.25">
      <c r="A24" s="1"/>
      <c r="B24" s="118" t="s">
        <v>76</v>
      </c>
      <c r="C24" s="119"/>
      <c r="D24" s="120"/>
      <c r="E24" s="9">
        <v>0</v>
      </c>
      <c r="F24" s="8" t="s">
        <v>3</v>
      </c>
      <c r="G24" s="1"/>
    </row>
    <row r="25" spans="1:7" ht="14.25" customHeight="1" x14ac:dyDescent="0.25">
      <c r="A25" s="1"/>
      <c r="B25" s="118" t="s">
        <v>77</v>
      </c>
      <c r="C25" s="119"/>
      <c r="D25" s="120"/>
      <c r="E25" s="9">
        <v>0</v>
      </c>
      <c r="F25" s="8" t="s">
        <v>3</v>
      </c>
      <c r="G25" s="1"/>
    </row>
    <row r="26" spans="1:7" x14ac:dyDescent="0.25">
      <c r="A26" s="1"/>
      <c r="B26" s="124" t="s">
        <v>81</v>
      </c>
      <c r="C26" s="125"/>
      <c r="D26" s="125"/>
      <c r="E26" s="10">
        <v>0</v>
      </c>
      <c r="F26" s="11" t="s">
        <v>3</v>
      </c>
      <c r="G26" s="1"/>
    </row>
    <row r="27" spans="1:7" x14ac:dyDescent="0.25">
      <c r="A27" s="1"/>
      <c r="B27" s="71" t="s">
        <v>128</v>
      </c>
      <c r="C27" s="72"/>
      <c r="D27" s="72"/>
      <c r="E27" s="72"/>
      <c r="F27" s="19"/>
      <c r="G27" s="1"/>
    </row>
    <row r="28" spans="1:7" ht="15" customHeight="1" x14ac:dyDescent="0.25">
      <c r="A28" s="1"/>
      <c r="B28" s="124" t="s">
        <v>129</v>
      </c>
      <c r="C28" s="125"/>
      <c r="D28" s="126"/>
      <c r="E28" s="10">
        <v>0</v>
      </c>
      <c r="F28" s="11" t="s">
        <v>3</v>
      </c>
      <c r="G28" s="1"/>
    </row>
    <row r="29" spans="1:7" x14ac:dyDescent="0.25">
      <c r="A29" s="1"/>
      <c r="B29" s="71" t="s">
        <v>159</v>
      </c>
      <c r="C29" s="72"/>
      <c r="D29" s="72"/>
      <c r="E29" s="72"/>
      <c r="F29" s="19"/>
      <c r="G29" s="1"/>
    </row>
    <row r="30" spans="1:7" ht="15.75" customHeight="1" x14ac:dyDescent="0.25">
      <c r="A30" s="1"/>
      <c r="B30" s="111" t="s">
        <v>160</v>
      </c>
      <c r="C30" s="112"/>
      <c r="D30" s="113"/>
      <c r="E30" s="10">
        <v>0</v>
      </c>
      <c r="F30" s="11" t="s">
        <v>3</v>
      </c>
      <c r="G30" s="1"/>
    </row>
    <row r="31" spans="1:7" ht="15.75" customHeight="1" x14ac:dyDescent="0.25">
      <c r="A31" s="1"/>
      <c r="B31" s="129" t="s">
        <v>153</v>
      </c>
      <c r="C31" s="130"/>
      <c r="D31" s="130"/>
      <c r="E31" s="130"/>
      <c r="F31" s="131"/>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18142020.56783732</v>
      </c>
      <c r="F33" s="37" t="s">
        <v>3</v>
      </c>
      <c r="G33" s="1"/>
    </row>
    <row r="34" spans="1:7" ht="27.75" customHeight="1" x14ac:dyDescent="0.25">
      <c r="A34" s="1"/>
      <c r="B34" s="118" t="s">
        <v>173</v>
      </c>
      <c r="C34" s="119"/>
      <c r="D34" s="119"/>
      <c r="E34" s="119"/>
      <c r="F34" s="120"/>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14" t="s">
        <v>98</v>
      </c>
      <c r="C1" s="114"/>
      <c r="D1" s="114"/>
      <c r="E1" s="114"/>
      <c r="F1" s="114"/>
      <c r="G1" s="114"/>
      <c r="H1" s="114"/>
      <c r="I1" s="1"/>
    </row>
    <row r="2" spans="1:9" ht="15" customHeight="1" x14ac:dyDescent="0.25">
      <c r="A2" s="1"/>
      <c r="B2" s="114"/>
      <c r="C2" s="114"/>
      <c r="D2" s="114"/>
      <c r="E2" s="114"/>
      <c r="F2" s="114"/>
      <c r="G2" s="114"/>
      <c r="H2" s="114"/>
      <c r="I2" s="1"/>
    </row>
    <row r="3" spans="1:9" ht="15" customHeight="1" x14ac:dyDescent="0.25">
      <c r="A3" s="1"/>
      <c r="B3" s="114"/>
      <c r="C3" s="114"/>
      <c r="D3" s="114"/>
      <c r="E3" s="114"/>
      <c r="F3" s="114"/>
      <c r="G3" s="114"/>
      <c r="H3" s="114"/>
      <c r="I3" s="1"/>
    </row>
    <row r="4" spans="1:9" x14ac:dyDescent="0.25">
      <c r="A4" s="1"/>
      <c r="B4" s="129" t="s">
        <v>49</v>
      </c>
      <c r="C4" s="130"/>
      <c r="D4" s="130"/>
      <c r="E4" s="130"/>
      <c r="F4" s="130"/>
      <c r="G4" s="130"/>
      <c r="H4" s="131"/>
      <c r="I4" s="1"/>
    </row>
    <row r="5" spans="1:9" x14ac:dyDescent="0.25">
      <c r="A5" s="1"/>
      <c r="B5" s="132" t="s">
        <v>38</v>
      </c>
      <c r="C5" s="133"/>
      <c r="D5" s="133"/>
      <c r="E5" s="133"/>
      <c r="F5" s="134"/>
      <c r="G5" s="58">
        <v>5348267.9622022836</v>
      </c>
      <c r="H5" s="14" t="s">
        <v>3</v>
      </c>
      <c r="I5" s="1"/>
    </row>
    <row r="6" spans="1:9" x14ac:dyDescent="0.25">
      <c r="A6" s="1"/>
      <c r="B6" s="132" t="s">
        <v>39</v>
      </c>
      <c r="C6" s="133"/>
      <c r="D6" s="133"/>
      <c r="E6" s="133"/>
      <c r="F6" s="134"/>
      <c r="G6" s="58">
        <f>G5*'Fane 13. Nøgletal'!C31</f>
        <v>106965.35924404567</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9" t="s">
        <v>50</v>
      </c>
      <c r="C9" s="130"/>
      <c r="D9" s="130"/>
      <c r="E9" s="130"/>
      <c r="F9" s="130"/>
      <c r="G9" s="135"/>
      <c r="H9" s="131"/>
      <c r="I9" s="1"/>
    </row>
    <row r="10" spans="1:9" x14ac:dyDescent="0.25">
      <c r="A10" s="1"/>
      <c r="B10" s="132" t="s">
        <v>40</v>
      </c>
      <c r="C10" s="133"/>
      <c r="D10" s="133"/>
      <c r="E10" s="133"/>
      <c r="F10" s="134"/>
      <c r="G10" s="58">
        <f>(G5-G6)*(1+'Fane 13. Nøgletal'!C9)</f>
        <v>5307867.1460158071</v>
      </c>
      <c r="H10" s="14" t="s">
        <v>3</v>
      </c>
      <c r="I10" s="1"/>
    </row>
    <row r="11" spans="1:9" x14ac:dyDescent="0.25">
      <c r="A11" s="1"/>
      <c r="B11" s="136" t="s">
        <v>41</v>
      </c>
      <c r="C11" s="137"/>
      <c r="D11" s="137"/>
      <c r="E11" s="137"/>
      <c r="F11" s="138"/>
      <c r="G11" s="58">
        <v>0</v>
      </c>
      <c r="H11" s="14" t="s">
        <v>3</v>
      </c>
      <c r="I11" s="1"/>
    </row>
    <row r="12" spans="1:9" x14ac:dyDescent="0.25">
      <c r="A12" s="1"/>
      <c r="B12" s="132" t="s">
        <v>42</v>
      </c>
      <c r="C12" s="133"/>
      <c r="D12" s="133"/>
      <c r="E12" s="133"/>
      <c r="F12" s="134"/>
      <c r="G12" s="58">
        <f>(G10+G11)*'Fane 13. Nøgletal'!C31</f>
        <v>106157.34292031615</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9" t="s">
        <v>51</v>
      </c>
      <c r="C15" s="130"/>
      <c r="D15" s="130"/>
      <c r="E15" s="130"/>
      <c r="F15" s="130"/>
      <c r="G15" s="135"/>
      <c r="H15" s="131"/>
      <c r="I15" s="1"/>
    </row>
    <row r="16" spans="1:9" x14ac:dyDescent="0.25">
      <c r="A16" s="1"/>
      <c r="B16" s="132" t="s">
        <v>43</v>
      </c>
      <c r="C16" s="133"/>
      <c r="D16" s="133"/>
      <c r="E16" s="133"/>
      <c r="F16" s="134"/>
      <c r="G16" s="58">
        <f>(G10+G11-G12)*(1+'Fane 13. Nøgletal'!C11)</f>
        <v>5289618.6987678036</v>
      </c>
      <c r="H16" s="14" t="s">
        <v>3</v>
      </c>
      <c r="I16" s="1"/>
    </row>
    <row r="17" spans="1:9" x14ac:dyDescent="0.25">
      <c r="A17" s="1"/>
      <c r="B17" s="132" t="s">
        <v>108</v>
      </c>
      <c r="C17" s="133"/>
      <c r="D17" s="133"/>
      <c r="E17" s="133"/>
      <c r="F17" s="134"/>
      <c r="G17" s="58">
        <v>0</v>
      </c>
      <c r="H17" s="14" t="s">
        <v>3</v>
      </c>
      <c r="I17" s="1"/>
    </row>
    <row r="18" spans="1:9" x14ac:dyDescent="0.25">
      <c r="A18" s="1"/>
      <c r="B18" s="136" t="s">
        <v>44</v>
      </c>
      <c r="C18" s="137"/>
      <c r="D18" s="137"/>
      <c r="E18" s="137"/>
      <c r="F18" s="138"/>
      <c r="G18" s="58">
        <v>0</v>
      </c>
      <c r="H18" s="14" t="s">
        <v>3</v>
      </c>
      <c r="I18" s="1"/>
    </row>
    <row r="19" spans="1:9" x14ac:dyDescent="0.25">
      <c r="A19" s="1"/>
      <c r="B19" s="132" t="s">
        <v>45</v>
      </c>
      <c r="C19" s="133"/>
      <c r="D19" s="133"/>
      <c r="E19" s="133"/>
      <c r="F19" s="134"/>
      <c r="G19" s="58">
        <f>SUM(G16:G18)*'Fane 13. Nøgletal'!C31</f>
        <v>105792.37397535608</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9" t="s">
        <v>52</v>
      </c>
      <c r="C22" s="130"/>
      <c r="D22" s="130"/>
      <c r="E22" s="130"/>
      <c r="F22" s="130"/>
      <c r="G22" s="135"/>
      <c r="H22" s="131"/>
      <c r="I22" s="1"/>
    </row>
    <row r="23" spans="1:9" x14ac:dyDescent="0.25">
      <c r="A23" s="1"/>
      <c r="B23" s="132" t="s">
        <v>46</v>
      </c>
      <c r="C23" s="133"/>
      <c r="D23" s="133"/>
      <c r="E23" s="133"/>
      <c r="F23" s="134"/>
      <c r="G23" s="58">
        <f>(SUM(G16:G18)-G19)*(1+'Fane 13. Nøgletal'!C11)</f>
        <v>5271432.9896814395</v>
      </c>
      <c r="H23" s="14" t="s">
        <v>3</v>
      </c>
      <c r="I23" s="1"/>
    </row>
    <row r="24" spans="1:9" x14ac:dyDescent="0.25">
      <c r="A24" s="1"/>
      <c r="B24" s="136" t="s">
        <v>47</v>
      </c>
      <c r="C24" s="137"/>
      <c r="D24" s="137"/>
      <c r="E24" s="137"/>
      <c r="F24" s="138"/>
      <c r="G24" s="58">
        <v>533632.76503317012</v>
      </c>
      <c r="H24" s="14" t="s">
        <v>3</v>
      </c>
      <c r="I24" s="1"/>
    </row>
    <row r="25" spans="1:9" x14ac:dyDescent="0.25">
      <c r="A25" s="1"/>
      <c r="B25" s="132" t="s">
        <v>48</v>
      </c>
      <c r="C25" s="133"/>
      <c r="D25" s="133"/>
      <c r="E25" s="133"/>
      <c r="F25" s="134"/>
      <c r="G25" s="58">
        <f>(G23+G24)*'Fane 13. Nøgletal'!C31</f>
        <v>116101.31509429221</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9" t="s">
        <v>132</v>
      </c>
      <c r="C28" s="130"/>
      <c r="D28" s="130"/>
      <c r="E28" s="130"/>
      <c r="F28" s="130"/>
      <c r="G28" s="135"/>
      <c r="H28" s="131"/>
      <c r="I28" s="1"/>
    </row>
    <row r="29" spans="1:9" x14ac:dyDescent="0.25">
      <c r="A29" s="1"/>
      <c r="B29" s="132" t="s">
        <v>55</v>
      </c>
      <c r="C29" s="133"/>
      <c r="D29" s="133"/>
      <c r="E29" s="133"/>
      <c r="F29" s="134"/>
      <c r="G29" s="58">
        <f>(G23+G24-G25)*(1+'Fane 13. Nøgletal'!C13)</f>
        <v>5758369.8057836853</v>
      </c>
      <c r="H29" s="14" t="s">
        <v>3</v>
      </c>
      <c r="I29" s="1"/>
    </row>
    <row r="30" spans="1:9" x14ac:dyDescent="0.25">
      <c r="A30" s="1"/>
      <c r="B30" s="132" t="s">
        <v>121</v>
      </c>
      <c r="C30" s="133"/>
      <c r="D30" s="133"/>
      <c r="E30" s="133"/>
      <c r="F30" s="134"/>
      <c r="G30" s="58">
        <v>190072.25169911998</v>
      </c>
      <c r="H30" s="14" t="s">
        <v>3</v>
      </c>
      <c r="I30" s="1"/>
    </row>
    <row r="31" spans="1:9" x14ac:dyDescent="0.25">
      <c r="A31" s="1"/>
      <c r="B31" s="132" t="s">
        <v>126</v>
      </c>
      <c r="C31" s="133"/>
      <c r="D31" s="133"/>
      <c r="E31" s="133"/>
      <c r="F31" s="134"/>
      <c r="G31" s="58">
        <f>(G29+G30)*'Fane 13. Nøgletal'!C31</f>
        <v>118968.8411496561</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9" t="s">
        <v>133</v>
      </c>
      <c r="C34" s="130"/>
      <c r="D34" s="130"/>
      <c r="E34" s="130"/>
      <c r="F34" s="130"/>
      <c r="G34" s="135"/>
      <c r="H34" s="131"/>
      <c r="I34" s="1"/>
    </row>
    <row r="35" spans="1:9" x14ac:dyDescent="0.25">
      <c r="A35" s="1"/>
      <c r="B35" s="132" t="s">
        <v>74</v>
      </c>
      <c r="C35" s="133"/>
      <c r="D35" s="133"/>
      <c r="E35" s="133"/>
      <c r="F35" s="134"/>
      <c r="G35" s="58">
        <f>(G29+G30-G31)*(1+'Fane 13. Nøgletal'!C13)</f>
        <v>5900592.7895724131</v>
      </c>
      <c r="H35" s="14" t="s">
        <v>3</v>
      </c>
      <c r="I35" s="1"/>
    </row>
    <row r="36" spans="1:9" x14ac:dyDescent="0.25">
      <c r="A36" s="1"/>
      <c r="B36" s="132" t="s">
        <v>152</v>
      </c>
      <c r="C36" s="133"/>
      <c r="D36" s="133"/>
      <c r="E36" s="133"/>
      <c r="F36" s="134"/>
      <c r="G36" s="58">
        <f>('Fane 3. Omkostninger i ØR2022'!E10+'Fane 3. Omkostninger i ØR2022'!E12+'Fane 3. Omkostninger i ØR2022'!E14)*(1+'Fane 13. Nøgletal'!C14)</f>
        <v>0</v>
      </c>
      <c r="H36" s="14" t="s">
        <v>3</v>
      </c>
      <c r="I36" s="1"/>
    </row>
    <row r="37" spans="1:9" x14ac:dyDescent="0.25">
      <c r="A37" s="1"/>
      <c r="B37" s="132" t="s">
        <v>134</v>
      </c>
      <c r="C37" s="133"/>
      <c r="D37" s="133"/>
      <c r="E37" s="133"/>
      <c r="F37" s="134"/>
      <c r="G37" s="58">
        <f>(G35+G36)*'Fane 13. Nøgletal'!C31</f>
        <v>118011.85579144827</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9" t="s">
        <v>198</v>
      </c>
      <c r="C40" s="130"/>
      <c r="D40" s="130"/>
      <c r="E40" s="130"/>
      <c r="F40" s="130"/>
      <c r="G40" s="135"/>
      <c r="H40" s="131"/>
      <c r="I40" s="1"/>
    </row>
    <row r="41" spans="1:9" x14ac:dyDescent="0.25">
      <c r="A41" s="1"/>
      <c r="B41" s="132" t="s">
        <v>73</v>
      </c>
      <c r="C41" s="133"/>
      <c r="D41" s="133"/>
      <c r="E41" s="133"/>
      <c r="F41" s="134"/>
      <c r="G41" s="58">
        <f>(G35+G36-G37)*(1+'Fane 13. Nøgletal'!C15)</f>
        <v>5988440.8150235675</v>
      </c>
      <c r="H41" s="14" t="s">
        <v>3</v>
      </c>
      <c r="I41" s="1"/>
    </row>
    <row r="42" spans="1:9" x14ac:dyDescent="0.25">
      <c r="A42" s="1"/>
      <c r="B42" s="132" t="s">
        <v>197</v>
      </c>
      <c r="C42" s="133"/>
      <c r="D42" s="133"/>
      <c r="E42" s="133"/>
      <c r="F42" s="134"/>
      <c r="G42" s="58">
        <f>('Fane 2.1. Økonomisk ramme 2023'!C9+'Fane 2.1. Økonomisk ramme 2023'!C11+'Fane 2.1. Økonomisk ramme 2023'!C13)*(1+'Fane 13. Nøgletal'!C15)</f>
        <v>1293594.0426216</v>
      </c>
      <c r="H42" s="14" t="s">
        <v>3</v>
      </c>
      <c r="I42" s="1"/>
    </row>
    <row r="43" spans="1:9" x14ac:dyDescent="0.25">
      <c r="A43" s="1"/>
      <c r="B43" s="132" t="s">
        <v>208</v>
      </c>
      <c r="C43" s="133"/>
      <c r="D43" s="133"/>
      <c r="E43" s="133"/>
      <c r="F43" s="134"/>
      <c r="G43" s="58">
        <f>(G41+G42)*'Fane 13. Nøgletal'!C31</f>
        <v>145640.69715290333</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9" t="s">
        <v>199</v>
      </c>
      <c r="C46" s="130"/>
      <c r="D46" s="130"/>
      <c r="E46" s="130"/>
      <c r="F46" s="130"/>
      <c r="G46" s="135"/>
      <c r="H46" s="131"/>
      <c r="I46" s="1"/>
    </row>
    <row r="47" spans="1:9" x14ac:dyDescent="0.25">
      <c r="A47" s="1"/>
      <c r="B47" s="132" t="s">
        <v>122</v>
      </c>
      <c r="C47" s="133"/>
      <c r="D47" s="133"/>
      <c r="E47" s="133"/>
      <c r="F47" s="134"/>
      <c r="G47" s="58">
        <f>(G41+G42-G43)*(1+'Fane 13. Nøgletal'!C15)</f>
        <v>7390449.7926057884</v>
      </c>
      <c r="H47" s="14" t="s">
        <v>3</v>
      </c>
      <c r="I47" s="1"/>
    </row>
    <row r="48" spans="1:9" x14ac:dyDescent="0.25">
      <c r="A48" s="1"/>
      <c r="B48" s="132" t="s">
        <v>209</v>
      </c>
      <c r="C48" s="133"/>
      <c r="D48" s="133"/>
      <c r="E48" s="133"/>
      <c r="F48" s="134"/>
      <c r="G48" s="58">
        <f>(G47)*'Fane 13. Nøgletal'!C31</f>
        <v>147808.99585211577</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9" t="s">
        <v>145</v>
      </c>
      <c r="C51" s="130"/>
      <c r="D51" s="130"/>
      <c r="E51" s="130"/>
      <c r="F51" s="130"/>
      <c r="G51" s="135"/>
      <c r="H51" s="131"/>
      <c r="I51" s="1"/>
    </row>
    <row r="52" spans="1:9" x14ac:dyDescent="0.25">
      <c r="A52" s="1"/>
      <c r="B52" s="132" t="s">
        <v>146</v>
      </c>
      <c r="C52" s="133"/>
      <c r="D52" s="133"/>
      <c r="E52" s="133"/>
      <c r="F52" s="134"/>
      <c r="G52" s="58">
        <f>(G47-G48)*(1+'Fane 13. Nøgletal'!C15)</f>
        <v>7500478.8091181042</v>
      </c>
      <c r="H52" s="14" t="s">
        <v>3</v>
      </c>
      <c r="I52" s="1"/>
    </row>
    <row r="53" spans="1:9" x14ac:dyDescent="0.25">
      <c r="A53" s="1"/>
      <c r="B53" s="132" t="s">
        <v>147</v>
      </c>
      <c r="C53" s="133"/>
      <c r="D53" s="133"/>
      <c r="E53" s="133"/>
      <c r="F53" s="134"/>
      <c r="G53" s="58">
        <f>(G52)*'Fane 13. Nøgletal'!C31</f>
        <v>150009.5761823621</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9" t="s">
        <v>174</v>
      </c>
      <c r="C56" s="130"/>
      <c r="D56" s="130"/>
      <c r="E56" s="130"/>
      <c r="F56" s="130"/>
      <c r="G56" s="135"/>
      <c r="H56" s="131"/>
      <c r="I56" s="1"/>
    </row>
    <row r="57" spans="1:9" x14ac:dyDescent="0.25">
      <c r="A57" s="1"/>
      <c r="B57" s="132" t="s">
        <v>175</v>
      </c>
      <c r="C57" s="133"/>
      <c r="D57" s="133"/>
      <c r="E57" s="133"/>
      <c r="F57" s="134"/>
      <c r="G57" s="58">
        <f>(G52-G53)*(1+'Fane 13. Nøgletal'!C15)</f>
        <v>7612145.9376282552</v>
      </c>
      <c r="H57" s="14" t="s">
        <v>3</v>
      </c>
      <c r="I57" s="1"/>
    </row>
    <row r="58" spans="1:9" x14ac:dyDescent="0.25">
      <c r="A58" s="1"/>
      <c r="B58" s="132" t="s">
        <v>176</v>
      </c>
      <c r="C58" s="133"/>
      <c r="D58" s="133"/>
      <c r="E58" s="133"/>
      <c r="F58" s="134"/>
      <c r="G58" s="58">
        <f>(G57)*'Fane 13. Nøgletal'!C31</f>
        <v>152242.91875256511</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7" width="10.28515625" style="2" customWidth="1"/>
    <col min="8" max="8" width="9.7109375" style="2" customWidth="1"/>
    <col min="9" max="9" width="6" style="2" customWidth="1"/>
    <col min="10" max="16384" width="9" style="2"/>
  </cols>
  <sheetData>
    <row r="1" spans="1:9" x14ac:dyDescent="0.25">
      <c r="A1" s="1"/>
      <c r="B1" s="139" t="s">
        <v>99</v>
      </c>
      <c r="C1" s="140"/>
      <c r="D1" s="140"/>
      <c r="E1" s="140"/>
      <c r="F1" s="140"/>
      <c r="G1" s="140"/>
      <c r="H1" s="140"/>
      <c r="I1" s="1"/>
    </row>
    <row r="2" spans="1:9" ht="19.899999999999999" customHeight="1" x14ac:dyDescent="0.25">
      <c r="A2" s="1"/>
      <c r="B2" s="140"/>
      <c r="C2" s="140"/>
      <c r="D2" s="140"/>
      <c r="E2" s="140"/>
      <c r="F2" s="140"/>
      <c r="G2" s="140"/>
      <c r="H2" s="140"/>
      <c r="I2" s="1"/>
    </row>
    <row r="3" spans="1:9" ht="15" customHeight="1" x14ac:dyDescent="0.25">
      <c r="A3" s="1"/>
      <c r="B3" s="141"/>
      <c r="C3" s="141"/>
      <c r="D3" s="141"/>
      <c r="E3" s="141"/>
      <c r="F3" s="141"/>
      <c r="G3" s="141"/>
      <c r="H3" s="141"/>
      <c r="I3" s="1"/>
    </row>
    <row r="4" spans="1:9" x14ac:dyDescent="0.25">
      <c r="A4" s="1"/>
      <c r="B4" s="129" t="s">
        <v>53</v>
      </c>
      <c r="C4" s="130"/>
      <c r="D4" s="130"/>
      <c r="E4" s="130"/>
      <c r="F4" s="130"/>
      <c r="G4" s="130"/>
      <c r="H4" s="131"/>
      <c r="I4" s="1"/>
    </row>
    <row r="5" spans="1:9" x14ac:dyDescent="0.25">
      <c r="A5" s="1"/>
      <c r="B5" s="132" t="s">
        <v>56</v>
      </c>
      <c r="C5" s="133"/>
      <c r="D5" s="133"/>
      <c r="E5" s="133"/>
      <c r="F5" s="134"/>
      <c r="G5" s="58">
        <v>4464306.9897765834</v>
      </c>
      <c r="H5" s="14" t="s">
        <v>3</v>
      </c>
      <c r="I5" s="1"/>
    </row>
    <row r="6" spans="1:9" x14ac:dyDescent="0.25">
      <c r="A6" s="1"/>
      <c r="B6" s="132" t="s">
        <v>54</v>
      </c>
      <c r="C6" s="133"/>
      <c r="D6" s="133"/>
      <c r="E6" s="133"/>
      <c r="F6" s="134"/>
      <c r="G6" s="58">
        <f>G5*'Fane 13. Nøgletal'!C20</f>
        <v>40625.19360696691</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9" t="s">
        <v>57</v>
      </c>
      <c r="C9" s="130"/>
      <c r="D9" s="130"/>
      <c r="E9" s="130"/>
      <c r="F9" s="130"/>
      <c r="G9" s="135"/>
      <c r="H9" s="131"/>
      <c r="I9" s="1"/>
    </row>
    <row r="10" spans="1:9" x14ac:dyDescent="0.25">
      <c r="A10" s="1"/>
      <c r="B10" s="132" t="s">
        <v>58</v>
      </c>
      <c r="C10" s="133"/>
      <c r="D10" s="133"/>
      <c r="E10" s="133"/>
      <c r="F10" s="134"/>
      <c r="G10" s="58">
        <f>(G5-G6)*(1+'Fane 13. Nøgletal'!C9)</f>
        <v>4479862.55498097</v>
      </c>
      <c r="H10" s="14" t="s">
        <v>3</v>
      </c>
      <c r="I10" s="1"/>
    </row>
    <row r="11" spans="1:9" x14ac:dyDescent="0.25">
      <c r="A11" s="1"/>
      <c r="B11" s="136" t="s">
        <v>59</v>
      </c>
      <c r="C11" s="137"/>
      <c r="D11" s="137"/>
      <c r="E11" s="137"/>
      <c r="F11" s="138"/>
      <c r="G11" s="63">
        <v>0</v>
      </c>
      <c r="H11" s="14" t="s">
        <v>3</v>
      </c>
      <c r="I11" s="1"/>
    </row>
    <row r="12" spans="1:9" x14ac:dyDescent="0.25">
      <c r="A12" s="1"/>
      <c r="B12" s="132" t="s">
        <v>60</v>
      </c>
      <c r="C12" s="133"/>
      <c r="D12" s="133"/>
      <c r="E12" s="133"/>
      <c r="F12" s="134"/>
      <c r="G12" s="58">
        <f>G10*'Fane 13. Nøgletal'!C20+G11*'Fane 13. Nøgletal'!C21</f>
        <v>40766.749250326829</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9" t="s">
        <v>61</v>
      </c>
      <c r="C15" s="130"/>
      <c r="D15" s="130"/>
      <c r="E15" s="130"/>
      <c r="F15" s="130"/>
      <c r="G15" s="135"/>
      <c r="H15" s="131"/>
      <c r="I15" s="1"/>
    </row>
    <row r="16" spans="1:9" x14ac:dyDescent="0.25">
      <c r="A16" s="1"/>
      <c r="B16" s="132" t="s">
        <v>62</v>
      </c>
      <c r="C16" s="133"/>
      <c r="D16" s="133"/>
      <c r="E16" s="133"/>
      <c r="F16" s="134"/>
      <c r="G16" s="58">
        <f>(G10+G11-G12)*(1+'Fane 13. Nøgletal'!C11)</f>
        <v>4514116.5248474898</v>
      </c>
      <c r="H16" s="14" t="s">
        <v>3</v>
      </c>
      <c r="I16" s="1"/>
    </row>
    <row r="17" spans="1:9" x14ac:dyDescent="0.25">
      <c r="A17" s="1"/>
      <c r="B17" s="132" t="s">
        <v>109</v>
      </c>
      <c r="C17" s="133"/>
      <c r="D17" s="133"/>
      <c r="E17" s="133"/>
      <c r="F17" s="134"/>
      <c r="G17" s="58">
        <v>-75369.130331930603</v>
      </c>
      <c r="H17" s="14" t="s">
        <v>3</v>
      </c>
      <c r="I17" s="1"/>
    </row>
    <row r="18" spans="1:9" x14ac:dyDescent="0.25">
      <c r="A18" s="1"/>
      <c r="B18" s="136" t="s">
        <v>63</v>
      </c>
      <c r="C18" s="137"/>
      <c r="D18" s="137"/>
      <c r="E18" s="137"/>
      <c r="F18" s="138"/>
      <c r="G18" s="58">
        <v>0</v>
      </c>
      <c r="H18" s="14" t="s">
        <v>3</v>
      </c>
      <c r="I18" s="1"/>
    </row>
    <row r="19" spans="1:9" x14ac:dyDescent="0.25">
      <c r="A19" s="1"/>
      <c r="B19" s="132" t="s">
        <v>64</v>
      </c>
      <c r="C19" s="133"/>
      <c r="D19" s="133"/>
      <c r="E19" s="133"/>
      <c r="F19" s="134"/>
      <c r="G19" s="58">
        <f>(G16+G17+G18)*'Fane 13. Nøgletal'!C22</f>
        <v>38617.102332285358</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9" t="s">
        <v>65</v>
      </c>
      <c r="C22" s="130"/>
      <c r="D22" s="130"/>
      <c r="E22" s="130"/>
      <c r="F22" s="130"/>
      <c r="G22" s="135"/>
      <c r="H22" s="131"/>
      <c r="I22" s="1"/>
    </row>
    <row r="23" spans="1:9" x14ac:dyDescent="0.25">
      <c r="A23" s="1"/>
      <c r="B23" s="132" t="s">
        <v>66</v>
      </c>
      <c r="C23" s="133"/>
      <c r="D23" s="133"/>
      <c r="E23" s="133"/>
      <c r="F23" s="134"/>
      <c r="G23" s="58">
        <f>(SUM(G16:G18)-G19)*(1+'Fane 13. Nøgletal'!C11)</f>
        <v>4474492.4941211706</v>
      </c>
      <c r="H23" s="14" t="s">
        <v>3</v>
      </c>
      <c r="I23" s="1"/>
    </row>
    <row r="24" spans="1:9" x14ac:dyDescent="0.25">
      <c r="A24" s="1"/>
      <c r="B24" s="136" t="s">
        <v>67</v>
      </c>
      <c r="C24" s="137"/>
      <c r="D24" s="137"/>
      <c r="E24" s="137"/>
      <c r="F24" s="138"/>
      <c r="G24" s="58">
        <v>104940.61298325002</v>
      </c>
      <c r="H24" s="14" t="s">
        <v>3</v>
      </c>
      <c r="I24" s="1"/>
    </row>
    <row r="25" spans="1:9" x14ac:dyDescent="0.25">
      <c r="A25" s="1"/>
      <c r="B25" s="132" t="s">
        <v>68</v>
      </c>
      <c r="C25" s="133"/>
      <c r="D25" s="133"/>
      <c r="E25" s="133"/>
      <c r="F25" s="134"/>
      <c r="G25" s="58">
        <f>G23*'Fane 13. Nøgletal'!C22+G24*'Fane 13. Nøgletal'!C23</f>
        <v>41908.398107578483</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9" t="s">
        <v>130</v>
      </c>
      <c r="C28" s="130"/>
      <c r="D28" s="130"/>
      <c r="E28" s="130"/>
      <c r="F28" s="130"/>
      <c r="G28" s="135"/>
      <c r="H28" s="131"/>
      <c r="I28" s="1"/>
    </row>
    <row r="29" spans="1:9" x14ac:dyDescent="0.25">
      <c r="A29" s="1"/>
      <c r="B29" s="132" t="s">
        <v>69</v>
      </c>
      <c r="C29" s="133"/>
      <c r="D29" s="133"/>
      <c r="E29" s="133"/>
      <c r="F29" s="134"/>
      <c r="G29" s="58">
        <f>(G23+G24-G25)*(1+'Fane 13. Nøgletal'!C13)</f>
        <v>4592882.5104466043</v>
      </c>
      <c r="H29" s="14" t="s">
        <v>3</v>
      </c>
      <c r="I29" s="1"/>
    </row>
    <row r="30" spans="1:9" x14ac:dyDescent="0.25">
      <c r="A30" s="1"/>
      <c r="B30" s="132" t="s">
        <v>123</v>
      </c>
      <c r="C30" s="133"/>
      <c r="D30" s="133"/>
      <c r="E30" s="133"/>
      <c r="F30" s="134"/>
      <c r="G30" s="58">
        <v>190072.25169911998</v>
      </c>
      <c r="H30" s="14" t="s">
        <v>3</v>
      </c>
      <c r="I30" s="1"/>
    </row>
    <row r="31" spans="1:9" x14ac:dyDescent="0.25">
      <c r="A31" s="1"/>
      <c r="B31" s="132" t="s">
        <v>131</v>
      </c>
      <c r="C31" s="133"/>
      <c r="D31" s="133"/>
      <c r="E31" s="133"/>
      <c r="F31" s="134"/>
      <c r="G31" s="58">
        <f>(G29+G30)*'Fane 13. Nøgletal'!C24</f>
        <v>131531.25595900742</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9" t="s">
        <v>135</v>
      </c>
      <c r="C34" s="130"/>
      <c r="D34" s="130"/>
      <c r="E34" s="130"/>
      <c r="F34" s="130"/>
      <c r="G34" s="135"/>
      <c r="H34" s="131"/>
      <c r="I34" s="1"/>
    </row>
    <row r="35" spans="1:9" x14ac:dyDescent="0.25">
      <c r="A35" s="1"/>
      <c r="B35" s="132" t="s">
        <v>72</v>
      </c>
      <c r="C35" s="133"/>
      <c r="D35" s="133"/>
      <c r="E35" s="133"/>
      <c r="F35" s="134"/>
      <c r="G35" s="58">
        <f>(G29+G30-G31)*(1+'Fane 13. Nøgletal'!C13)</f>
        <v>4708170.8729621945</v>
      </c>
      <c r="H35" s="14" t="s">
        <v>3</v>
      </c>
      <c r="I35" s="1"/>
    </row>
    <row r="36" spans="1:9" x14ac:dyDescent="0.25">
      <c r="A36" s="1"/>
      <c r="B36" s="132" t="s">
        <v>141</v>
      </c>
      <c r="C36" s="133"/>
      <c r="D36" s="133"/>
      <c r="E36" s="133"/>
      <c r="F36" s="134"/>
      <c r="G36" s="58">
        <f>SUM('Fane 3. Omkostninger i ØR2022'!E11)*(1+'Fane 13. Nøgletal'!C14)</f>
        <v>132742.78467519002</v>
      </c>
      <c r="H36" s="14" t="s">
        <v>3</v>
      </c>
      <c r="I36" s="1"/>
    </row>
    <row r="37" spans="1:9" x14ac:dyDescent="0.25">
      <c r="A37" s="1"/>
      <c r="B37" s="132" t="s">
        <v>136</v>
      </c>
      <c r="C37" s="133"/>
      <c r="D37" s="133"/>
      <c r="E37" s="133"/>
      <c r="F37" s="134"/>
      <c r="G37" s="58">
        <f>G35*'Fane 13. Nøgletal'!C24+G36*'Fane 13. Nøgletal'!C25</f>
        <v>131439.29221965314</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9" t="s">
        <v>200</v>
      </c>
      <c r="C40" s="130"/>
      <c r="D40" s="130"/>
      <c r="E40" s="130"/>
      <c r="F40" s="130"/>
      <c r="G40" s="135"/>
      <c r="H40" s="131"/>
      <c r="I40" s="1"/>
    </row>
    <row r="41" spans="1:9" x14ac:dyDescent="0.25">
      <c r="A41" s="1"/>
      <c r="B41" s="132" t="s">
        <v>71</v>
      </c>
      <c r="C41" s="133"/>
      <c r="D41" s="133"/>
      <c r="E41" s="133"/>
      <c r="F41" s="134"/>
      <c r="G41" s="58">
        <f>(G35+G36-G37)*(1+'Fane 13. Nøgletal'!C15)</f>
        <v>4877131.6528266035</v>
      </c>
      <c r="H41" s="14" t="s">
        <v>3</v>
      </c>
      <c r="I41" s="1"/>
    </row>
    <row r="42" spans="1:9" x14ac:dyDescent="0.25">
      <c r="A42" s="1"/>
      <c r="B42" s="132" t="s">
        <v>211</v>
      </c>
      <c r="C42" s="133"/>
      <c r="D42" s="133"/>
      <c r="E42" s="133"/>
      <c r="F42" s="134"/>
      <c r="G42" s="63">
        <f>SUM('Fane 2.1. Økonomisk ramme 2023'!C10+'Fane 2.1. Økonomisk ramme 2023'!C12+'Fane 2.1. Økonomisk ramme 2023'!C14)*(1+'Fane 13. Nøgletal'!C15)</f>
        <v>695548.70632800006</v>
      </c>
      <c r="H42" s="14" t="s">
        <v>3</v>
      </c>
      <c r="I42" s="1"/>
    </row>
    <row r="43" spans="1:9" x14ac:dyDescent="0.25">
      <c r="A43" s="1"/>
      <c r="B43" s="132" t="s">
        <v>70</v>
      </c>
      <c r="C43" s="133"/>
      <c r="D43" s="133"/>
      <c r="E43" s="133"/>
      <c r="F43" s="134"/>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9" t="s">
        <v>201</v>
      </c>
      <c r="C46" s="130"/>
      <c r="D46" s="130"/>
      <c r="E46" s="130"/>
      <c r="F46" s="130"/>
      <c r="G46" s="135"/>
      <c r="H46" s="131"/>
      <c r="I46" s="1"/>
    </row>
    <row r="47" spans="1:9" x14ac:dyDescent="0.25">
      <c r="A47" s="1"/>
      <c r="B47" s="132" t="s">
        <v>124</v>
      </c>
      <c r="C47" s="133"/>
      <c r="D47" s="133"/>
      <c r="E47" s="133"/>
      <c r="F47" s="134"/>
      <c r="G47" s="58">
        <f>(G41+G42-G43)*(1+'Fane 13. Nøgletal'!C15)</f>
        <v>5771067.7799405074</v>
      </c>
      <c r="H47" s="14" t="s">
        <v>3</v>
      </c>
      <c r="I47" s="1"/>
    </row>
    <row r="48" spans="1:9" x14ac:dyDescent="0.25">
      <c r="A48" s="1"/>
      <c r="B48" s="132" t="s">
        <v>125</v>
      </c>
      <c r="C48" s="133"/>
      <c r="D48" s="133"/>
      <c r="E48" s="133"/>
      <c r="F48" s="134"/>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9" t="s">
        <v>142</v>
      </c>
      <c r="C51" s="130"/>
      <c r="D51" s="130"/>
      <c r="E51" s="130"/>
      <c r="F51" s="130"/>
      <c r="G51" s="135"/>
      <c r="H51" s="131"/>
      <c r="I51" s="1"/>
    </row>
    <row r="52" spans="1:9" x14ac:dyDescent="0.25">
      <c r="A52" s="1"/>
      <c r="B52" s="132" t="s">
        <v>143</v>
      </c>
      <c r="C52" s="133"/>
      <c r="D52" s="133"/>
      <c r="E52" s="133"/>
      <c r="F52" s="134"/>
      <c r="G52" s="58">
        <f>(G47-G48)*(1+'Fane 13. Nøgletal'!C15)</f>
        <v>5976517.7929063896</v>
      </c>
      <c r="H52" s="14" t="s">
        <v>3</v>
      </c>
      <c r="I52" s="1"/>
    </row>
    <row r="53" spans="1:9" x14ac:dyDescent="0.25">
      <c r="A53" s="1"/>
      <c r="B53" s="132" t="s">
        <v>144</v>
      </c>
      <c r="C53" s="133"/>
      <c r="D53" s="133"/>
      <c r="E53" s="133"/>
      <c r="F53" s="134"/>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9" t="s">
        <v>177</v>
      </c>
      <c r="C56" s="130"/>
      <c r="D56" s="130"/>
      <c r="E56" s="130"/>
      <c r="F56" s="130"/>
      <c r="G56" s="135"/>
      <c r="H56" s="131"/>
      <c r="I56" s="1"/>
    </row>
    <row r="57" spans="1:9" x14ac:dyDescent="0.25">
      <c r="A57" s="1"/>
      <c r="B57" s="132" t="s">
        <v>178</v>
      </c>
      <c r="C57" s="133"/>
      <c r="D57" s="133"/>
      <c r="E57" s="133"/>
      <c r="F57" s="134"/>
      <c r="G57" s="58">
        <f>(G52-G53)*(1+'Fane 13. Nøgletal'!C15)</f>
        <v>6189281.8263338571</v>
      </c>
      <c r="H57" s="14" t="s">
        <v>3</v>
      </c>
      <c r="I57" s="1"/>
    </row>
    <row r="58" spans="1:9" x14ac:dyDescent="0.25">
      <c r="A58" s="1"/>
      <c r="B58" s="132" t="s">
        <v>179</v>
      </c>
      <c r="C58" s="133"/>
      <c r="D58" s="133"/>
      <c r="E58" s="133"/>
      <c r="F58" s="134"/>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6" t="s">
        <v>82</v>
      </c>
      <c r="C3" s="106"/>
      <c r="D3" s="106"/>
      <c r="E3" s="106"/>
      <c r="F3" s="106"/>
      <c r="G3" s="106"/>
      <c r="H3" s="1"/>
    </row>
    <row r="4" spans="1:8" ht="15" customHeight="1" x14ac:dyDescent="0.25">
      <c r="A4" s="1"/>
      <c r="B4" s="106"/>
      <c r="C4" s="106"/>
      <c r="D4" s="106"/>
      <c r="E4" s="106"/>
      <c r="F4" s="106"/>
      <c r="G4" s="10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9</v>
      </c>
      <c r="C8" s="130"/>
      <c r="D8" s="130"/>
      <c r="E8" s="130"/>
      <c r="F8" s="130"/>
      <c r="G8" s="131"/>
      <c r="H8" s="1"/>
    </row>
    <row r="9" spans="1:8" x14ac:dyDescent="0.25">
      <c r="A9" s="1"/>
      <c r="B9" s="84" t="s">
        <v>180</v>
      </c>
      <c r="C9" s="85"/>
      <c r="D9" s="85"/>
      <c r="E9" s="85"/>
      <c r="F9" s="86"/>
      <c r="G9" s="28">
        <v>1.0781632995886354E-2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2" t="s">
        <v>202</v>
      </c>
      <c r="C12" s="142"/>
      <c r="D12" s="142"/>
      <c r="E12" s="142"/>
      <c r="F12" s="142"/>
      <c r="G12" s="142"/>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iay2Q+LZAGpS6LIcOK6KLocOmB0C2UA4CK1uY0QdzDOSlIJW7dF9b1mFV5s+5QnsVu9J35ghl1ETNSwGt7LMoQ==" saltValue="wxBi6K1mjcH8atTBbdW0h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2022-12-01T09:07:18Z</dcterms:modified>
</cp:coreProperties>
</file>