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Spildevand AS (S00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4" i="36" s="1"/>
  <c r="C17" i="21"/>
  <c r="C18" i="21" s="1"/>
  <c r="G46" i="30" s="1"/>
  <c r="E30" i="21" l="1"/>
  <c r="G61" i="36" s="1"/>
  <c r="C30" i="21"/>
  <c r="G60" i="30" s="1"/>
  <c r="E24" i="21"/>
  <c r="G55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7" i="36" l="1"/>
  <c r="G11" i="36" l="1"/>
  <c r="G14" i="36" l="1"/>
  <c r="G18" i="36" l="1"/>
  <c r="G20" i="36" s="1"/>
  <c r="G16" i="30"/>
  <c r="G20" i="30" s="1"/>
  <c r="G24" i="36" l="1"/>
  <c r="G26" i="36" s="1"/>
  <c r="G22" i="30"/>
  <c r="G30" i="36" l="1"/>
  <c r="G26" i="30"/>
  <c r="G32" i="36" l="1"/>
  <c r="F11" i="11"/>
  <c r="C10" i="37" s="1"/>
  <c r="C13" i="37" s="1"/>
  <c r="C14" i="37" s="1"/>
  <c r="G11" i="11"/>
  <c r="G36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7" i="36" s="1"/>
  <c r="G34" i="30"/>
  <c r="E18" i="27" s="1"/>
  <c r="G43" i="36" l="1"/>
  <c r="G38" i="36"/>
  <c r="G42" i="36" s="1"/>
  <c r="G38" i="30"/>
  <c r="E20" i="27"/>
  <c r="E33" i="27" s="1"/>
  <c r="C9" i="2" l="1"/>
  <c r="C16" i="2" s="1"/>
  <c r="G40" i="30"/>
  <c r="G44" i="30" s="1"/>
  <c r="G47" i="30" s="1"/>
  <c r="G53" i="30" s="1"/>
  <c r="G45" i="36"/>
  <c r="G54" i="36" s="1"/>
  <c r="C19" i="2"/>
  <c r="G56" i="36" l="1"/>
  <c r="C15" i="15"/>
  <c r="G60" i="36" l="1"/>
  <c r="G62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<sst xmlns="http://schemas.openxmlformats.org/spreadsheetml/2006/main" count="709" uniqueCount="287">
  <si>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</si>
  <si>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</si>
  <si>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</si>
  <si>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</si>
  <si>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</si>
  <si>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</si>
  <si>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</si>
  <si>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</si>
  <si>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</si>
  <si>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</si>
  <si>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</si>
  <si>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</si>
  <si>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</si>
  <si>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</si>
  <si>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</si>
  <si>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</si>
  <si>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</si>
  <si>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</si>
  <si>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</si>
  <si>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</si>
  <si>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</si>
  <si>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</si>
  <si>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</si>
  <si>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</si>
  <si>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</si>
  <si>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</si>
  <si>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</si>
  <si>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</si>
  <si>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</si>
  <si>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</si>
  <si>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</si>
  <si>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</si>
  <si>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</si>
  <si>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</si>
  <si>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</si>
  <si>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</si>
  <si>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</si>
  <si>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</si>
  <si>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</si>
  <si>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</si>
  <si>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</si>
  <si>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</si>
  <si>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</si>
  <si>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</si>
  <si>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</si>
  <si>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</si>
  <si>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</si>
  <si>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</si>
  <si>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</si>
  <si>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</si>
  <si>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</si>
  <si>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</si>
  <si>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</si>
  <si>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</si>
  <si>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</si>
  <si>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</si>
  <si>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</si>
  <si>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</si>
  <si>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</si>
  <si>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</si>
  <si>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</si>
  <si>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</si>
  <si>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</si>
  <si>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</si>
  <si>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</si>
  <si>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</si>
  <si>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</si>
  <si>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</si>
  <si>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</si>
  <si>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</si>
  <si>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</si>
  <si>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</si>
  <si>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</si>
  <si>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</si>
  <si>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</si>
  <si>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</si>
  <si>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</si>
  <si>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</si>
  <si>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</si>
  <si>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</si>
  <si>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</si>
  <si>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</si>
  <si>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</si>
  <si>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</si>
  <si>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</si>
  <si>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</si>
  <si>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</si>
  <si>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</si>
  <si>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</si>
  <si>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</si>
  <si>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</si>
  <si>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</si>
  <si>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</si>
  <si>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</si>
  <si>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</si>
  <si>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</si>
  <si>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</si>
  <si>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</si>
  <si>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</si>
  <si>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</si>
  <si>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</si>
  <si>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</si>
  <si>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</si>
  <si>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</si>
  <si>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</si>
  <si>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</si>
  <si>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</si>
  <si>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</si>
  <si>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</si>
  <si>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</si>
  <si>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</si>
  <si>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</si>
  <si>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</si>
  <si>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</si>
  <si>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</si>
  <si>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</si>
  <si>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</si>
  <si>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</si>
  <si>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</si>
  <si>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</si>
  <si>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</si>
  <si>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</si>
  <si>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</si>
  <si>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</si>
  <si>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</si>
  <si>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</si>
  <si>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</si>
  <si>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</si>
  <si>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</si>
  <si>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</si>
  <si>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</si>
  <si>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</si>
  <si>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</si>
  <si>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</si>
  <si>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</si>
  <si>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</si>
  <si>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</si>
  <si>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</si>
  <si>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</si>
  <si>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</si>
  <si>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</si>
  <si>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</si>
  <si>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</si>
  <si>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</si>
  <si>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</si>
  <si>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</si>
  <si>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</si>
  <si>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</si>
  <si>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</si>
  <si>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</si>
  <si>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</si>
  <si>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</si>
  <si>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</si>
  <si>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</si>
  <si>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</si>
  <si>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</si>
  <si>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</si>
  <si>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</si>
  <si>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</si>
  <si>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</si>
  <si>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</si>
  <si>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</si>
  <si>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</si>
  <si>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</si>
  <si>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</si>
  <si>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</si>
  <si>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</si>
  <si>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</si>
  <si>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</si>
  <si>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</si>
  <si>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</si>
  <si>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</si>
  <si>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</si>
  <si>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</si>
  <si>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</si>
  <si>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</si>
  <si>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</si>
  <si>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</si>
  <si>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</si>
  <si>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</si>
  <si>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</si>
  <si>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</si>
  <si>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</si>
  <si>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</si>
  <si>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</si>
  <si>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</si>
  <si>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</si>
  <si>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</si>
  <si>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</si>
  <si>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</si>
  <si>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</si>
  <si>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</si>
  <si>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</si>
  <si>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</si>
  <si>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</si>
  <si>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</si>
  <si>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</si>
  <si>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</si>
  <si>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</si>
  <si>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</si>
  <si>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</si>
  <si>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</si>
  <si>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</si>
  <si>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</si>
  <si>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</si>
  <si>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</si>
  <si>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</si>
  <si>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</si>
  <si>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</si>
  <si>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</si>
  <si>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</si>
  <si>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</si>
  <si>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</si>
  <si>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</si>
  <si>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</si>
  <si>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</si>
  <si>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</si>
  <si>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</si>
  <si>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</si>
  <si>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</si>
  <si>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</si>
  <si>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</si>
  <si>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</si>
  <si>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</si>
  <si>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</si>
  <si>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</si>
  <si>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</si>
  <si>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</si>
  <si>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</si>
  <si>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</si>
  <si>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</si>
  <si>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</si>
  <si>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</si>
  <si>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</si>
  <si>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</si>
  <si>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</si>
  <si>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</si>
  <si>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</si>
  <si>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</si>
  <si>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</si>
  <si>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</si>
  <si>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</si>
  <si>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</si>
  <si>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</si>
  <si>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</si>
  <si>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</si>
  <si>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</si>
  <si>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</si>
  <si>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</si>
  <si>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</si>
  <si>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</si>
  <si>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</si>
  <si>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</si>
  <si>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</si>
  <si>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</si>
  <si>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</si>
  <si>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</si>
  <si>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</si>
  <si>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</si>
  <si>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</si>
  <si>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</si>
  <si>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</si>
  <si>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</si>
  <si>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</si>
  <si>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</si>
  <si>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</si>
  <si>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</si>
  <si>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</si>
  <si>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</si>
  <si>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</si>
  <si>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</si>
  <si>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</si>
  <si>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</si>
  <si>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</si>
  <si>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</si>
  <si>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</si>
  <si>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</si>
  <si>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</si>
  <si>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</si>
  <si>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Byggemodning, kloakering  i åbent land m.m.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</si>
  <si>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</si>
  <si>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</si>
  <si>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Separering 2019 og 2020 samt regnvandsbassin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</si>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</sst>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285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vi0tNZAE3898UQOytIZUbsywKpdC1ExVz0sGfptFgqy9DMLSxklb1nhlgmVvPPtG62Mydo0sqNfBzvCq9EHKA==" saltValue="8RFwkN5bryZdNV66ABHur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3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2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262</v>
      </c>
      <c r="C10" s="9">
        <v>71567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20684795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276298.96000000002</v>
      </c>
      <c r="D12" s="14" t="s">
        <v>3</v>
      </c>
      <c r="E12" s="1"/>
      <c r="F12" s="1"/>
    </row>
    <row r="13" spans="1:6" x14ac:dyDescent="0.25">
      <c r="A13" s="1"/>
      <c r="B13" s="65" t="s">
        <v>265</v>
      </c>
      <c r="C13" s="9">
        <v>6354057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27386717.960000001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27567768.539894588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5" t="s">
        <v>142</v>
      </c>
      <c r="C18" s="96"/>
      <c r="D18" s="97"/>
      <c r="E18" s="1"/>
      <c r="F18" s="1"/>
    </row>
    <row r="19" spans="1:6" x14ac:dyDescent="0.25">
      <c r="A19" s="1"/>
      <c r="B19" s="65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5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5"/>
      <c r="C23" s="96"/>
      <c r="D23" s="9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5" t="s">
        <v>115</v>
      </c>
      <c r="C26" s="96"/>
      <c r="D26" s="97"/>
      <c r="E26" s="1"/>
      <c r="F26" s="1"/>
    </row>
    <row r="27" spans="1:6" x14ac:dyDescent="0.25">
      <c r="A27" s="1"/>
      <c r="B27" s="65" t="s">
        <v>116</v>
      </c>
      <c r="C27" s="9">
        <v>998309</v>
      </c>
      <c r="D27" s="14" t="s">
        <v>3</v>
      </c>
      <c r="E27" s="1"/>
      <c r="F27" s="1"/>
    </row>
    <row r="28" spans="1:6" x14ac:dyDescent="0.25">
      <c r="A28" s="1"/>
      <c r="B28" s="65" t="s">
        <v>117</v>
      </c>
      <c r="C28" s="9">
        <v>998309</v>
      </c>
      <c r="D28" s="14" t="s">
        <v>3</v>
      </c>
      <c r="E28" s="1"/>
      <c r="F28" s="1"/>
    </row>
    <row r="29" spans="1:6" x14ac:dyDescent="0.25">
      <c r="A29" s="1"/>
      <c r="B29" s="65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5"/>
      <c r="C31" s="96"/>
      <c r="D31" s="9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bunQGOCFl01KaCGTL21jAJ714D6mv7kIwIdTVTxOAM0BtV1iYfVEJg8eNQBs9AjYz9iEN/ftlSIm6s1V3DFdyA==" saltValue="pHVBgtjQcEp7mb4SBtLcM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267</v>
      </c>
      <c r="C8" s="96"/>
      <c r="D8" s="96"/>
      <c r="E8" s="96"/>
      <c r="F8" s="97"/>
      <c r="G8" s="1"/>
    </row>
    <row r="9" spans="1:7" x14ac:dyDescent="0.25">
      <c r="A9" s="1"/>
      <c r="B9" s="104" t="s">
        <v>268</v>
      </c>
      <c r="C9" s="105"/>
      <c r="D9" s="106"/>
      <c r="E9" s="9">
        <v>13230878.081949845</v>
      </c>
      <c r="F9" s="14" t="s">
        <v>3</v>
      </c>
      <c r="G9" s="1"/>
    </row>
    <row r="10" spans="1:7" x14ac:dyDescent="0.25">
      <c r="A10" s="1"/>
      <c r="B10" s="104" t="s">
        <v>269</v>
      </c>
      <c r="C10" s="105"/>
      <c r="D10" s="106"/>
      <c r="E10" s="9">
        <v>-19032517.842694566</v>
      </c>
      <c r="F10" s="14" t="s">
        <v>3</v>
      </c>
      <c r="G10" s="1"/>
    </row>
    <row r="11" spans="1:7" x14ac:dyDescent="0.25">
      <c r="A11" s="1"/>
      <c r="B11" s="104" t="s">
        <v>270</v>
      </c>
      <c r="C11" s="105"/>
      <c r="D11" s="106"/>
      <c r="E11" s="9">
        <v>-5801639.7607447207</v>
      </c>
      <c r="F11" s="14" t="s">
        <v>3</v>
      </c>
      <c r="G11" s="1"/>
    </row>
    <row r="12" spans="1:7" x14ac:dyDescent="0.25">
      <c r="A12" s="1"/>
      <c r="B12" s="104" t="s">
        <v>271</v>
      </c>
      <c r="C12" s="105"/>
      <c r="D12" s="106"/>
      <c r="E12" s="9">
        <v>1587757.1227387637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273</v>
      </c>
      <c r="C16" s="96"/>
      <c r="D16" s="96"/>
      <c r="E16" s="96"/>
      <c r="F16" s="97"/>
      <c r="G16" s="1"/>
    </row>
    <row r="17" spans="1:7" x14ac:dyDescent="0.2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276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91236665.222699031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97038458.949999988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10000</v>
      </c>
      <c r="F25" s="14" t="s">
        <v>3</v>
      </c>
      <c r="G25" s="1"/>
    </row>
    <row r="26" spans="1:7" x14ac:dyDescent="0.25">
      <c r="A26" s="1"/>
      <c r="B26" s="59" t="s">
        <v>277</v>
      </c>
      <c r="C26" s="60"/>
      <c r="D26" s="67"/>
      <c r="E26" s="48">
        <f>E23-(E24-E25)</f>
        <v>-5791793.7273009568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19" t="s">
        <v>281</v>
      </c>
      <c r="C31" s="120"/>
      <c r="D31" s="121"/>
      <c r="E31" s="9">
        <v>0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-5791793.7273009568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-2895896.8636504784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98" t="s">
        <v>280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V9YmwrXWThoO2VguFYMG+QtKezDlC6JpqV4YJyYwZptt91v0R5caiDSJ8Jw6R8QL6tovBbunin1FigS50X3F2w==" saltValue="3n0lU+ChYSax5B+Fnx1jJA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929396.71737145225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684213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-245183.71737145225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-245183.71737145225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8E5QfhhLtCQWkD6oeiHscV1mFwtJdoL6xbGYAkM62DIIlr9zyuEPG5DiWu4cMkEeQpoF1yTQALj1goG6gtqqA==" saltValue="8ZltpMUAWMb159OEp3+HW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284</v>
      </c>
      <c r="C10" s="50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6OhbXGVYjOcPymeq6COVu9gm5wg3Wl0tuAkROqy45X75+0153qypafLnpWFYXHVuJQ2FfMyvvttDpLGrrAOtw==" saltValue="QfTcsXoHbngcMDga7fFxp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282</v>
      </c>
      <c r="C11" s="22">
        <v>106335</v>
      </c>
      <c r="D11" s="14" t="s">
        <v>3</v>
      </c>
      <c r="E11" s="9">
        <v>1843631</v>
      </c>
      <c r="F11" s="14" t="s">
        <v>3</v>
      </c>
      <c r="G11" s="1"/>
    </row>
    <row r="12" spans="1:7" x14ac:dyDescent="0.25">
      <c r="A12" s="1"/>
      <c r="B12" s="25" t="s">
        <v>279</v>
      </c>
      <c r="C12" s="22">
        <v>279102</v>
      </c>
      <c r="D12" s="14" t="s">
        <v>3</v>
      </c>
      <c r="E12" s="9">
        <v>446060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385437</v>
      </c>
      <c r="D13" s="13" t="s">
        <v>3</v>
      </c>
      <c r="E13" s="12">
        <f>SUM(E10:E12)</f>
        <v>2289691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386708.94210000004</v>
      </c>
      <c r="D14" s="13" t="s">
        <v>3</v>
      </c>
      <c r="E14" s="12">
        <f>E13*(1+'Fane 14. Nøgletal'!C14)</f>
        <v>2297246.9803000004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FuroEocWafwzkJzjl+nOjfZLmPuEPO3JpYjcJURk+uoD5SKv8rsYD+vENlX9mOJFrx549qrNwzMeFJANekD7A==" saltValue="gixHdF+lz3lDsxqw3Lj8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282</v>
      </c>
      <c r="C10" s="22">
        <v>0</v>
      </c>
      <c r="D10" s="14" t="s">
        <v>3</v>
      </c>
      <c r="E10" s="9">
        <v>1087768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1087768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-16947.132195828348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-16098.966400000001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1061694.5518749456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E3UtKZThYe5CRZNtaVmIn2wrfmTLzwZudayrbnHVlmnENgwaLjtiANaWNQdqmna9gMUzHSNGZbnX7i3Y1pDcg==" saltValue="fhwIuUXpMMi7HMpmSnSLY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3" t="s">
        <v>226</v>
      </c>
      <c r="C9" s="124"/>
      <c r="D9" s="125"/>
      <c r="E9" s="9">
        <v>2363062.5937847719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-36815.878168770869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-47261.251875695438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2294051.5859526922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2288879.9830415538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-35660.133091790303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-45777.599660831074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2229368.1250339625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2215910.2736343271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-34523.284690646447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-44318.205472686546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2165418.034939927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2191851.4330576519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-34148.454440325353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-43837.028661153039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2148975.6990466742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Hhhmkhe+QaAKanwlu2MnrGcy3C+5owMm1ID3l/+aH2CisbSVLq48UEcxGxKWBRTZVIIkDzWp5p7iGptNASDdw==" saltValue="hDbQO7lFerK+SRzv8SuQZ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ITOLYne7qQHPbtoTfI6oFgCtNgqTWnJtLmsk6wBKpMRnJgq577O5PKA3FWp+AXS1qczymghMQEVfNG3H2D4xHg==" saltValue="nRKqslSHial/lUmZIk5Zf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PmjMT2dgpgOLDlvcQvLDUcDG/Azpg0X6nSV5G6wY4X6hvadgSl8dK2eGD7BRWcAkj6cyvXgjPEMGQZbKm3EpA==" saltValue="xiIHl63FpYqemGWEdrQY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nd6x/FsE026r71m+Pv+E9BNialqaKsZhAC62EORYfZJjSgRiLrffK2kNW9gBelXGo3aeAl6hSK27ZrUmy2GW0w==" saltValue="BlDFCIPDsCirG0hbBoVR+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76637856.340456605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tillæg'!C14</f>
        <v>386708.94210000004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tillæg'!E14</f>
        <v>2297246.9803000004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261761.98046742679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-1239890.63230223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-342662.38721820567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anlæg'!G38</f>
        <v>-953605.63650364848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77047415.587299943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28566077.539894588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2294051.5859526922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1061694.5518749456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1061694.5518749456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-2895896.8636504784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-245183.71737145225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105828158.68400024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Z7fgRSx7itydOI9us1mHMMrMQtNDhOhGf0CCbEftq1fs2XD1xFJgKgWh99pJ9Q9HCLe5opfAmH0jDKAZjMtUg==" saltValue="lQVHn72kl06mifgW4y0ok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77047415.587299943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254256.47143808982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-1204339.2114292791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-336917.30963410519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anlæg'!G45</f>
        <v>-942592.59758456971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74817822.940090075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28657051.176076241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2229368.1250339625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-2895896.8636504784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102808345.3775498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nRqJ8jFSVw8QMHhZ/NcS65NQx1zYy8e8ry6KuchSK8C6jMIWJAKKAG+e5/IPvbvIi0bLtde7ZnIsa9J0u9F/Q==" saltValue="AGz23pB65RVCPnZMmQvy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74817822.940090075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246898.81570229726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-1169488.1287540041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-331268.55402077985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anlæg'!G56</f>
        <v>-931706.74648988131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72632258.326527715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27750016.025257297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2165418.034939927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102547692.38672493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poNXVL2ExrcbzDIUKv0n94pB2pvwSJP3TRZXPYXoFoeuLqCDPTeH1std9TcdEVhXq8PQh0JxTS4ixQ9I3PgJA==" saltValue="Jawoj7Iu6Gkc00gd3jKr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72632258.326527715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239686.45247754146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-1135325.2545918848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-325714.50544406747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anlæg'!G62</f>
        <v>-920946.61434774904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70489958.404621556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27841591.078140646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2148975.6990466742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100480525.18180887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UY6MMxLg+K+dEu9v/d9SSJD73W2vJy+W434gv2B9RMwVW/72dhmQlirP9Zj2CL/t7FoDLDLKcWXTKann/Nk4g==" saltValue="PW1On7Wa50xZP7Wm91x2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74318594.983906597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3607586.0688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1508088.87122232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-649146.3418411311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-340613.4100183954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anlæg'!G32</f>
        <v>-1806653.8316127812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76637856.340456605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26415157.8176498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2612455.1911981814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-1313062.8803723603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-391521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103960885.46893223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XGnuxse7nYwHjFT3f7G0PV2Fl/1kiyZM9jc8qroTFVTDNlC/BCfPE9MyKVtBETHcRbi/vLIt9STtgH7+kKq0w==" saltValue="hns6AeCapsklolgYp9Mbf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17309332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24">
        <v>3980608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425798.8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17178995.030999999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-6123.536860461506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24">
        <v>3419907.04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9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411855.57068279071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17054333.702117242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9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341086.67404234485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17042497.994527973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9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340849.95989055949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17030670.50091977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9">
        <v>0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340613.4100183954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16745134.279301351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387985.08160893008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342662.38721820567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16845865.48170526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389265.43237823958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336917.30963410519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16563427.701038992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331268.55402077985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201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16285725.272203375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325714.50544406747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WN2bOVJwmwEfPJLP+5ogcfH3e2UzAhNeuFm9Bkx7ZWoj/eCNKYyMB28/ot+Oc1zJIbzFKN3ZCp8KPUFQnkypPA==" saltValue="JtGs4mfKe6v/Yfcsc2ObEg==" spinCount="100000" sheet="1" objects="1" scenarios="1"/>
  <mergeCells count="37"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26:F26"/>
    <mergeCell ref="B27:F27"/>
    <mergeCell ref="B28:F28"/>
    <mergeCell ref="B38:F38"/>
    <mergeCell ref="B52:H52"/>
    <mergeCell ref="B15:F15"/>
    <mergeCell ref="B16:F16"/>
    <mergeCell ref="B20:F20"/>
    <mergeCell ref="B21:F21"/>
    <mergeCell ref="B22:F22"/>
    <mergeCell ref="B58:H58"/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28.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ht="18" customHeight="1" x14ac:dyDescent="0.35">
      <c r="A4" s="1"/>
      <c r="B4" s="49"/>
      <c r="C4" s="49"/>
      <c r="D4" s="49"/>
      <c r="E4" s="49"/>
      <c r="F4" s="49"/>
      <c r="G4" s="49"/>
      <c r="H4" s="49"/>
      <c r="I4" s="1"/>
    </row>
    <row r="5" spans="1:9" x14ac:dyDescent="0.25">
      <c r="A5" s="1"/>
      <c r="B5" s="95" t="s">
        <v>60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65</v>
      </c>
      <c r="C6" s="105"/>
      <c r="D6" s="105"/>
      <c r="E6" s="105"/>
      <c r="F6" s="106"/>
      <c r="G6" s="24">
        <v>58430043</v>
      </c>
      <c r="H6" s="14" t="s">
        <v>3</v>
      </c>
      <c r="I6" s="1"/>
    </row>
    <row r="7" spans="1:9" x14ac:dyDescent="0.25">
      <c r="A7" s="1"/>
      <c r="B7" s="104" t="s">
        <v>61</v>
      </c>
      <c r="C7" s="105"/>
      <c r="D7" s="105"/>
      <c r="E7" s="105"/>
      <c r="F7" s="106"/>
      <c r="G7" s="24">
        <f>G6*'Fane 14. Nøgletal'!C19</f>
        <v>531713.39130000002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66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24">
        <f>(G6-G7)*(1+'Fane 14. Nøgletal'!C10)</f>
        <v>58911550.376852252</v>
      </c>
      <c r="H11" s="14" t="s">
        <v>3</v>
      </c>
      <c r="I11" s="1"/>
    </row>
    <row r="12" spans="1:9" x14ac:dyDescent="0.25">
      <c r="A12" s="1"/>
      <c r="B12" s="104" t="s">
        <v>147</v>
      </c>
      <c r="C12" s="105"/>
      <c r="D12" s="105"/>
      <c r="E12" s="105"/>
      <c r="F12" s="106"/>
      <c r="G12" s="24">
        <v>-139425.16915224554</v>
      </c>
      <c r="H12" s="14" t="s">
        <v>3</v>
      </c>
      <c r="I12" s="1"/>
    </row>
    <row r="13" spans="1:9" x14ac:dyDescent="0.25">
      <c r="A13" s="1"/>
      <c r="B13" s="107" t="s">
        <v>68</v>
      </c>
      <c r="C13" s="108"/>
      <c r="D13" s="108"/>
      <c r="E13" s="108"/>
      <c r="F13" s="109"/>
      <c r="G13" s="9">
        <v>0</v>
      </c>
      <c r="H13" s="14" t="s">
        <v>3</v>
      </c>
      <c r="I13" s="1"/>
    </row>
    <row r="14" spans="1:9" x14ac:dyDescent="0.25">
      <c r="A14" s="1"/>
      <c r="B14" s="104" t="s">
        <v>69</v>
      </c>
      <c r="C14" s="105"/>
      <c r="D14" s="105"/>
      <c r="E14" s="105"/>
      <c r="F14" s="106"/>
      <c r="G14" s="24">
        <f>SUM(G11:G13)*'Fane 14. Nøgletal'!C20</f>
        <v>1040266.6161762901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5" t="s">
        <v>70</v>
      </c>
      <c r="C17" s="96"/>
      <c r="D17" s="96"/>
      <c r="E17" s="96"/>
      <c r="F17" s="96"/>
      <c r="G17" s="96"/>
      <c r="H17" s="97"/>
      <c r="I17" s="1"/>
    </row>
    <row r="18" spans="1:9" x14ac:dyDescent="0.25">
      <c r="A18" s="1"/>
      <c r="B18" s="104" t="s">
        <v>71</v>
      </c>
      <c r="C18" s="105"/>
      <c r="D18" s="105"/>
      <c r="E18" s="105"/>
      <c r="F18" s="106"/>
      <c r="G18" s="24">
        <f>(SUM(G11:G13)-G14)*(1+'Fane 14. Nøgletal'!C10)</f>
        <v>58742166.11687538</v>
      </c>
      <c r="H18" s="14" t="s">
        <v>3</v>
      </c>
      <c r="I18" s="1"/>
    </row>
    <row r="19" spans="1:9" x14ac:dyDescent="0.25">
      <c r="A19" s="1"/>
      <c r="B19" s="107" t="s">
        <v>72</v>
      </c>
      <c r="C19" s="108"/>
      <c r="D19" s="108"/>
      <c r="E19" s="108"/>
      <c r="F19" s="109"/>
      <c r="G19" s="9">
        <v>0</v>
      </c>
      <c r="H19" s="14" t="s">
        <v>3</v>
      </c>
      <c r="I19" s="1"/>
    </row>
    <row r="20" spans="1:9" x14ac:dyDescent="0.25">
      <c r="A20" s="1"/>
      <c r="B20" s="104" t="s">
        <v>73</v>
      </c>
      <c r="C20" s="105"/>
      <c r="D20" s="105"/>
      <c r="E20" s="105"/>
      <c r="F20" s="106"/>
      <c r="G20" s="24">
        <f>G18*'Fane 14. Nøgletal'!C20+G19*'Fane 14. Nøgletal'!C21</f>
        <v>1039736.3402686942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74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104" t="s">
        <v>75</v>
      </c>
      <c r="C24" s="105"/>
      <c r="D24" s="105"/>
      <c r="E24" s="105"/>
      <c r="F24" s="106"/>
      <c r="G24" s="24">
        <f>(G18+G19-G20)*(1+'Fane 14. Nøgletal'!C12)</f>
        <v>58839167.643205844</v>
      </c>
      <c r="H24" s="14" t="s">
        <v>3</v>
      </c>
      <c r="I24" s="1"/>
    </row>
    <row r="25" spans="1:9" x14ac:dyDescent="0.25">
      <c r="A25" s="1"/>
      <c r="B25" s="107" t="s">
        <v>76</v>
      </c>
      <c r="C25" s="108"/>
      <c r="D25" s="108"/>
      <c r="E25" s="108"/>
      <c r="F25" s="109"/>
      <c r="G25" s="24">
        <v>1801021.5673481196</v>
      </c>
      <c r="H25" s="14" t="s">
        <v>3</v>
      </c>
      <c r="I25" s="1"/>
    </row>
    <row r="26" spans="1:9" x14ac:dyDescent="0.25">
      <c r="A26" s="1"/>
      <c r="B26" s="104" t="s">
        <v>77</v>
      </c>
      <c r="C26" s="105"/>
      <c r="D26" s="105"/>
      <c r="E26" s="105"/>
      <c r="F26" s="106"/>
      <c r="G26" s="24">
        <f>(G24+G25)*'Fane 14. Nøgletal'!C22</f>
        <v>1722181.3735797328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78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104" t="s">
        <v>79</v>
      </c>
      <c r="C30" s="105"/>
      <c r="D30" s="105"/>
      <c r="E30" s="105"/>
      <c r="F30" s="106"/>
      <c r="G30" s="24">
        <f>(G24+G25-G26)*(1+'Fane 14. Nøgletal'!C12)</f>
        <v>60078692.591362625</v>
      </c>
      <c r="H30" s="14" t="s">
        <v>3</v>
      </c>
      <c r="I30" s="1"/>
    </row>
    <row r="31" spans="1:9" x14ac:dyDescent="0.25">
      <c r="A31" s="1"/>
      <c r="B31" s="104" t="s">
        <v>176</v>
      </c>
      <c r="C31" s="105"/>
      <c r="D31" s="105"/>
      <c r="E31" s="105"/>
      <c r="F31" s="106"/>
      <c r="G31" s="24">
        <v>3651598.6188393598</v>
      </c>
      <c r="H31" s="14" t="s">
        <v>3</v>
      </c>
      <c r="I31" s="1"/>
    </row>
    <row r="32" spans="1:9" x14ac:dyDescent="0.25">
      <c r="A32" s="1"/>
      <c r="B32" s="104" t="s">
        <v>80</v>
      </c>
      <c r="C32" s="105"/>
      <c r="D32" s="105"/>
      <c r="E32" s="105"/>
      <c r="F32" s="106"/>
      <c r="G32" s="24">
        <f>G30*'Fane 14. Nøgletal'!C22+G31*'Fane 14. Nøgletal'!C23</f>
        <v>1806653.8316127812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238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104" t="s">
        <v>82</v>
      </c>
      <c r="C36" s="105"/>
      <c r="D36" s="105"/>
      <c r="E36" s="105"/>
      <c r="F36" s="106"/>
      <c r="G36" s="24">
        <f>(G30+G31-G32)*(1+'Fane 14. Nøgletal'!C14)</f>
        <v>62127985.381938554</v>
      </c>
      <c r="H36" s="14" t="s">
        <v>3</v>
      </c>
      <c r="I36" s="1"/>
    </row>
    <row r="37" spans="1:9" x14ac:dyDescent="0.25">
      <c r="A37" s="1"/>
      <c r="B37" s="104" t="s">
        <v>240</v>
      </c>
      <c r="C37" s="105"/>
      <c r="D37" s="105"/>
      <c r="E37" s="105"/>
      <c r="F37" s="106"/>
      <c r="G37" s="24">
        <f>SUM('Fane 2.1. Økonomisk ramme 2022'!C11,'Fane 2.1. Økonomisk ramme 2022'!C13,'Fane 2.1. Økonomisk ramme 2022'!C15)*(1+'Fane 14. Nøgletal'!C14)</f>
        <v>2304827.8953349907</v>
      </c>
      <c r="H37" s="14" t="s">
        <v>3</v>
      </c>
      <c r="I37" s="1"/>
    </row>
    <row r="38" spans="1:9" x14ac:dyDescent="0.25">
      <c r="A38" s="1"/>
      <c r="B38" s="104" t="s">
        <v>239</v>
      </c>
      <c r="C38" s="105"/>
      <c r="D38" s="105"/>
      <c r="E38" s="105"/>
      <c r="F38" s="106"/>
      <c r="G38" s="24">
        <f>(G36+G37)*'Fane 14. Nøgletal'!C24</f>
        <v>953605.63650364848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85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104" t="s">
        <v>81</v>
      </c>
      <c r="C42" s="105"/>
      <c r="D42" s="105"/>
      <c r="E42" s="105"/>
      <c r="F42" s="106"/>
      <c r="G42" s="24">
        <f>(G36+G37-G38)*(1+'Fane 14. Nøgletal'!C14)</f>
        <v>63688689.025984436</v>
      </c>
      <c r="H42" s="14" t="s">
        <v>3</v>
      </c>
      <c r="I42" s="1"/>
    </row>
    <row r="43" spans="1:9" x14ac:dyDescent="0.25">
      <c r="A43" s="1"/>
      <c r="B43" s="47" t="s">
        <v>242</v>
      </c>
      <c r="C43" s="63"/>
      <c r="D43" s="63"/>
      <c r="E43" s="63"/>
      <c r="F43" s="64"/>
      <c r="G43" s="24">
        <f>G37*(1+'Fane 14. Nøgletal'!C14)</f>
        <v>2312433.8273895965</v>
      </c>
      <c r="H43" s="14" t="s">
        <v>3</v>
      </c>
      <c r="I43" s="1"/>
    </row>
    <row r="44" spans="1:9" x14ac:dyDescent="0.25">
      <c r="A44" s="1"/>
      <c r="B44" s="104" t="s">
        <v>101</v>
      </c>
      <c r="C44" s="105"/>
      <c r="D44" s="105"/>
      <c r="E44" s="105"/>
      <c r="F44" s="106"/>
      <c r="G44" s="9">
        <f>-'Fane 13. Bortfald'!E18*(1+'Fane 14. Nøgletal'!C14)</f>
        <v>0</v>
      </c>
      <c r="H44" s="14" t="s">
        <v>3</v>
      </c>
      <c r="I44" s="1"/>
    </row>
    <row r="45" spans="1:9" x14ac:dyDescent="0.25">
      <c r="A45" s="1"/>
      <c r="B45" s="104" t="s">
        <v>241</v>
      </c>
      <c r="C45" s="105"/>
      <c r="D45" s="105"/>
      <c r="E45" s="105"/>
      <c r="F45" s="106"/>
      <c r="G45" s="24">
        <f>(G42+G44)*'Fane 14. Nøgletal'!C24</f>
        <v>942592.59758456971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95" t="s">
        <v>181</v>
      </c>
      <c r="C53" s="96"/>
      <c r="D53" s="96"/>
      <c r="E53" s="96"/>
      <c r="F53" s="96"/>
      <c r="G53" s="96"/>
      <c r="H53" s="97"/>
      <c r="I53" s="1"/>
    </row>
    <row r="54" spans="1:9" x14ac:dyDescent="0.25">
      <c r="A54" s="1"/>
      <c r="B54" s="104" t="s">
        <v>182</v>
      </c>
      <c r="C54" s="105"/>
      <c r="D54" s="105"/>
      <c r="E54" s="105"/>
      <c r="F54" s="106"/>
      <c r="G54" s="24">
        <f>(G42+G44-G45)*(1+'Fane 14. Nøgletal'!C14)</f>
        <v>62953158.546613596</v>
      </c>
      <c r="H54" s="14" t="s">
        <v>3</v>
      </c>
      <c r="I54" s="1"/>
    </row>
    <row r="55" spans="1:9" x14ac:dyDescent="0.25">
      <c r="A55" s="1"/>
      <c r="B55" s="104" t="s">
        <v>183</v>
      </c>
      <c r="C55" s="105"/>
      <c r="D55" s="105"/>
      <c r="E55" s="105"/>
      <c r="F55" s="106"/>
      <c r="G55" s="9">
        <f>-'Fane 13. Bortfald'!E24*(1+'Fane 14. Nøgletal'!C13)</f>
        <v>0</v>
      </c>
      <c r="H55" s="14" t="s">
        <v>3</v>
      </c>
      <c r="I55" s="1"/>
    </row>
    <row r="56" spans="1:9" x14ac:dyDescent="0.25">
      <c r="A56" s="1"/>
      <c r="B56" s="104" t="s">
        <v>184</v>
      </c>
      <c r="C56" s="105"/>
      <c r="D56" s="105"/>
      <c r="E56" s="105"/>
      <c r="F56" s="106"/>
      <c r="G56" s="24">
        <f>(G54+G55)*'Fane 14. Nøgletal'!C24</f>
        <v>931706.74648988131</v>
      </c>
      <c r="H56" s="14" t="s">
        <v>3</v>
      </c>
      <c r="I56" s="1"/>
    </row>
    <row r="57" spans="1:9" x14ac:dyDescent="0.25">
      <c r="A57" s="1"/>
      <c r="B57" s="38"/>
      <c r="C57" s="32"/>
      <c r="D57" s="32"/>
      <c r="E57" s="32"/>
      <c r="F57" s="32"/>
      <c r="G57" s="32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95" t="s">
        <v>205</v>
      </c>
      <c r="C59" s="96"/>
      <c r="D59" s="96"/>
      <c r="E59" s="96"/>
      <c r="F59" s="96"/>
      <c r="G59" s="96"/>
      <c r="H59" s="97"/>
      <c r="I59" s="1"/>
    </row>
    <row r="60" spans="1:9" x14ac:dyDescent="0.25">
      <c r="A60" s="1"/>
      <c r="B60" s="104" t="s">
        <v>255</v>
      </c>
      <c r="C60" s="105"/>
      <c r="D60" s="105"/>
      <c r="E60" s="105"/>
      <c r="F60" s="106"/>
      <c r="G60" s="24">
        <f>(G54+G55-G56)*(1+'Fane 14. Nøgletal'!C14)</f>
        <v>62226122.591064125</v>
      </c>
      <c r="H60" s="14" t="s">
        <v>3</v>
      </c>
      <c r="I60" s="1"/>
    </row>
    <row r="61" spans="1:9" x14ac:dyDescent="0.25">
      <c r="A61" s="1"/>
      <c r="B61" s="104" t="s">
        <v>256</v>
      </c>
      <c r="C61" s="105"/>
      <c r="D61" s="105"/>
      <c r="E61" s="105"/>
      <c r="F61" s="106"/>
      <c r="G61" s="9">
        <f>-'Fane 13. Bortfald'!E30*(1+'Fane 14. Nøgletal'!C14)</f>
        <v>0</v>
      </c>
      <c r="H61" s="14" t="s">
        <v>3</v>
      </c>
      <c r="I61" s="1"/>
    </row>
    <row r="62" spans="1:9" x14ac:dyDescent="0.25">
      <c r="A62" s="1"/>
      <c r="B62" s="104" t="s">
        <v>257</v>
      </c>
      <c r="C62" s="105"/>
      <c r="D62" s="105"/>
      <c r="E62" s="105"/>
      <c r="F62" s="106"/>
      <c r="G62" s="24">
        <f>(G60+G61)*'Fane 14. Nøgletal'!C24</f>
        <v>920946.61434774904</v>
      </c>
      <c r="H62" s="14" t="s">
        <v>3</v>
      </c>
      <c r="I62" s="1"/>
    </row>
    <row r="63" spans="1:9" x14ac:dyDescent="0.25">
      <c r="A63" s="1"/>
      <c r="B63" s="38"/>
      <c r="C63" s="32"/>
      <c r="D63" s="32"/>
      <c r="E63" s="32"/>
      <c r="F63" s="32"/>
      <c r="G63" s="32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AV1o5BvBeeXZy24FGcXm2wSfdKlda3qazP0AkEpICJDTkb0wxl7RSKQqo01lh1ejSjpWhWZfkN+B9QSFYaskFQ==" saltValue="yUaIpKIP3Yb/jkDox+pOkA==" spinCount="100000" sheet="1" objects="1" scenarios="1"/>
  <mergeCells count="37">
    <mergeCell ref="B59:H59"/>
    <mergeCell ref="B60:F60"/>
    <mergeCell ref="B61:F61"/>
    <mergeCell ref="B62:F62"/>
    <mergeCell ref="B44:F44"/>
    <mergeCell ref="B42:F42"/>
    <mergeCell ref="B29:H29"/>
    <mergeCell ref="B30:F30"/>
    <mergeCell ref="B32:F32"/>
    <mergeCell ref="B35:H35"/>
    <mergeCell ref="B37:F37"/>
    <mergeCell ref="B38:F38"/>
    <mergeCell ref="B41:H41"/>
    <mergeCell ref="B18:F18"/>
    <mergeCell ref="B19:F19"/>
    <mergeCell ref="B31:F31"/>
    <mergeCell ref="B23:H23"/>
    <mergeCell ref="B12:F12"/>
    <mergeCell ref="B24:F24"/>
    <mergeCell ref="B25:F25"/>
    <mergeCell ref="B26:F26"/>
    <mergeCell ref="B1:H3"/>
    <mergeCell ref="B53:H53"/>
    <mergeCell ref="B54:F54"/>
    <mergeCell ref="B55:F55"/>
    <mergeCell ref="B56:F56"/>
    <mergeCell ref="B36:F36"/>
    <mergeCell ref="B45:F45"/>
    <mergeCell ref="B20:F20"/>
    <mergeCell ref="B5:H5"/>
    <mergeCell ref="B6:F6"/>
    <mergeCell ref="B7:F7"/>
    <mergeCell ref="B10:H10"/>
    <mergeCell ref="B11:F11"/>
    <mergeCell ref="B13:F13"/>
    <mergeCell ref="B14:F14"/>
    <mergeCell ref="B17:H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9.2707243099714662E-3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8.1721194449548423E-3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1.5579730416622245E-2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sVKmr71wuBpDvxasEvRNkrFn7YJdTrWBnqoqJLouoVDbPUxtRwey1OGApiTBkjKxBCdHj1KDR6BwRN86P6X5Q==" saltValue="WHWo7B7rY3j+U+sdKf1b7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2021-10-14T14:19:37Z</dcterms:modified>
</cp:coreProperties>
</file>