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Assens Vandværk AS (V017)\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F14" i="9" l="1"/>
  <c r="F13" i="9"/>
  <c r="F12" i="9"/>
  <c r="F15" i="9"/>
  <c r="E27" i="6" l="1"/>
  <c r="E17" i="5"/>
  <c r="E17" i="4"/>
  <c r="E17" i="3"/>
  <c r="E26" i="2"/>
  <c r="G18" i="15" l="1"/>
  <c r="E24" i="8" l="1"/>
  <c r="E28" i="8" s="1"/>
  <c r="E30" i="8" s="1"/>
  <c r="E15" i="3" l="1"/>
  <c r="E24" i="2"/>
  <c r="F11" i="9"/>
  <c r="F16" i="9"/>
  <c r="F17" i="9"/>
  <c r="C11" i="12" l="1"/>
  <c r="E11" i="12"/>
  <c r="E10" i="11"/>
  <c r="C10" i="11"/>
  <c r="H18" i="9"/>
  <c r="J18" i="9"/>
  <c r="C12" i="7"/>
  <c r="F10" i="9" l="1"/>
  <c r="F18" i="9" s="1"/>
  <c r="E12" i="12"/>
  <c r="C12" i="12"/>
  <c r="E12" i="2" l="1"/>
  <c r="E11" i="11"/>
  <c r="C11" i="11"/>
  <c r="C10" i="10" l="1"/>
  <c r="C13" i="7"/>
  <c r="C11" i="10" l="1"/>
  <c r="C12" i="10" s="1"/>
  <c r="E13" i="5"/>
  <c r="E13" i="4"/>
  <c r="E13" i="3"/>
  <c r="E22" i="6"/>
  <c r="E15" i="6" l="1"/>
  <c r="E16" i="6" s="1"/>
  <c r="E9" i="2" l="1"/>
  <c r="E28" i="6"/>
  <c r="E12" i="13"/>
  <c r="E13" i="13" s="1"/>
  <c r="C12" i="13"/>
  <c r="C13" i="13" s="1"/>
  <c r="E11" i="2" l="1"/>
  <c r="E19" i="2" l="1"/>
  <c r="E20" i="2"/>
  <c r="E21" i="2" l="1"/>
  <c r="E22" i="2" s="1"/>
  <c r="E17" i="2" l="1"/>
  <c r="E10" i="10" l="1"/>
  <c r="E11" i="10" l="1"/>
  <c r="E12"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<sst xmlns="http://schemas.openxmlformats.org/spreadsheetml/2006/main" count="352" uniqueCount="159">
  <si>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</si>
  <si>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</si>
  <si>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</si>
  <si>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</si>
  <si>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</si>
  <si>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</si>
  <si>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</si>
  <si>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</si>
  <si>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</si>
  <si>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</si>
  <si>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</si>
  <si>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</si>
  <si>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</si>
  <si>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</si>
  <si>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</si>
  <si>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</si>
  <si>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</si>
  <si>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</si>
  <si>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</si>
  <si>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</si>
  <si>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</si>
  <si>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</si>
  <si>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</si>
  <si>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</si>
  <si>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</si>
  <si>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</si>
  <si>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</si>
  <si>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</si>
  <si>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</si>
  <si>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</si>
  <si>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</si>
  <si>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</si>
  <si>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</si>
  <si>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</si>
  <si>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</si>
  <si>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</si>
  <si>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</si>
  <si>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</si>
  <si>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</si>
  <si>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</si>
  <si>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</si>
  <si>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</si>
  <si>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</si>
  <si>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</si>
  <si>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</si>
  <si>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</si>
  <si>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</si>
  <si>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</si>
  <si>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</si>
  <si>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</si>
  <si>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</si>
  <si>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</si>
  <si>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</si>
  <si>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</si>
  <si>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</si>
  <si>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</si>
  <si>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</si>
  <si>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</si>
  <si>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</si>
  <si>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</si>
  <si>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</si>
  <si>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</si>
  <si>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</si>
  <si>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</si>
  <si>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</si>
  <si>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</si>
  <si>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</si>
  <si>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</si>
  <si>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</si>
  <si>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</si>
  <si>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</si>
  <si>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</si>
  <si>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</si>
  <si>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</si>
  <si>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</si>
  <si>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</si>
  <si>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</si>
  <si>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</si>
  <si>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</si>
  <si>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</si>
  <si>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</si>
  <si>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</si>
  <si>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</si>
  <si>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</si>
  <si>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</si>
  <si>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</si>
  <si>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</si>
  <si>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</si>
  <si>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</si>
  <si>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</si>
  <si>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</si>
  <si>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</si>
  <si>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</si>
  <si>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</si>
  <si>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</si>
  <si>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</si>
  <si>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</si>
  <si>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</si>
  <si>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</si>
  <si>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</si>
  <si>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</si>
  <si>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</si>
  <si>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</si>
  <si>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</si>
  <si>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</si>
  <si>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</si>
  <si>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</si>
  <si>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</si>
  <si>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</si>
  <si>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</si>
  <si>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</si>
  <si>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</si>
  <si>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</si>
  <si>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</si>
  <si>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</si>
  <si>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</si>
  <si>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</si>
  <si>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</si>
  <si>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</si>
  <si>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</si>
  <si>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</si>
  <si>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</si>
  <si>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</si>
  <si>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</si>
  <si>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</si>
  <si>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</si>
  <si>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</si>
  <si>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</si>
  <si>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</si>
  <si>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Korrigeret over/underdækning i 2020</t>
  </si>
  <si>
    <t>Indregnet fradrag i økonomisk ramme for 2024</t>
  </si>
  <si>
    <t>Faktiske indtægter i 2021</t>
  </si>
  <si>
    <t>Til indregning i de økonomiske rammer for 2023-2024</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</si>
  <si>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</si>
  <si>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</si>
  <si>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</si>
  <si>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</si>
  <si>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</si>
  <si>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</si>
  <si>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</si>
  <si>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</si>
  <si>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</si>
  <si>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</si>
  <si>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</si>
  <si>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Beluftningsanlæg, kompressorbeluftning</t>
  </si>
  <si>
    <t>Elanlæg - vandværk</t>
  </si>
  <si>
    <t>Filteranlæg, åbne filtre, enkelt filtrering, Mek./EL</t>
  </si>
  <si>
    <t>Rentvandsbeholder  element</t>
  </si>
  <si>
    <t>Skyllevand-/slamhåndteringsanlæg - lukkede betonbeholdere</t>
  </si>
  <si>
    <t>SRO-anlæg, vandværk</t>
  </si>
  <si>
    <t>Udpumpningsanlæg, Freqvensomformer</t>
  </si>
  <si>
    <t>Udpumpningsanlæg, rentvandspumper på vandværk</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</si>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</sst>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15" fillId="7" borderId="1" xfId="0" applyNumberFormat="1"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89" t="s">
        <v>105</v>
      </c>
      <c r="E8" s="89"/>
      <c r="F8" s="89"/>
      <c r="G8" s="8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4" t="s">
        <v>78</v>
      </c>
      <c r="E13" s="85"/>
      <c r="F13" s="85"/>
      <c r="G13" s="86"/>
      <c r="H13" s="1"/>
      <c r="I13" s="1"/>
    </row>
    <row r="14" spans="1:9" x14ac:dyDescent="0.25">
      <c r="A14" s="1"/>
      <c r="B14" s="1"/>
      <c r="C14" s="6" t="s">
        <v>14</v>
      </c>
      <c r="D14" s="84" t="s">
        <v>110</v>
      </c>
      <c r="E14" s="85"/>
      <c r="F14" s="85"/>
      <c r="G14" s="86"/>
      <c r="H14" s="1"/>
      <c r="I14" s="1"/>
    </row>
    <row r="15" spans="1:9" x14ac:dyDescent="0.25">
      <c r="A15" s="1"/>
      <c r="B15" s="1"/>
      <c r="C15" s="6" t="s">
        <v>28</v>
      </c>
      <c r="D15" s="84" t="s">
        <v>64</v>
      </c>
      <c r="E15" s="85"/>
      <c r="F15" s="85"/>
      <c r="G15" s="86"/>
      <c r="H15" s="1"/>
      <c r="I15" s="1"/>
    </row>
    <row r="16" spans="1:9" x14ac:dyDescent="0.25">
      <c r="A16" s="1"/>
      <c r="B16" s="1"/>
      <c r="C16" s="6" t="s">
        <v>29</v>
      </c>
      <c r="D16" s="84" t="s">
        <v>79</v>
      </c>
      <c r="E16" s="85"/>
      <c r="F16" s="85"/>
      <c r="G16" s="86"/>
      <c r="H16" s="1"/>
      <c r="I16" s="1"/>
    </row>
    <row r="17" spans="1:9" x14ac:dyDescent="0.25">
      <c r="A17" s="1"/>
      <c r="B17" s="1"/>
      <c r="C17" s="6" t="s">
        <v>49</v>
      </c>
      <c r="D17" s="84" t="s">
        <v>80</v>
      </c>
      <c r="E17" s="85"/>
      <c r="F17" s="85"/>
      <c r="G17" s="86"/>
      <c r="H17" s="1"/>
      <c r="I17" s="1"/>
    </row>
    <row r="18" spans="1:9" x14ac:dyDescent="0.25">
      <c r="A18" s="1"/>
      <c r="B18" s="1"/>
      <c r="C18" s="6" t="s">
        <v>7</v>
      </c>
      <c r="D18" s="81" t="s">
        <v>11</v>
      </c>
      <c r="E18" s="82"/>
      <c r="F18" s="82"/>
      <c r="G18" s="83"/>
      <c r="H18" s="1"/>
      <c r="I18" s="1"/>
    </row>
    <row r="19" spans="1:9" x14ac:dyDescent="0.25">
      <c r="A19" s="1"/>
      <c r="B19" s="1"/>
      <c r="C19" s="6" t="s">
        <v>8</v>
      </c>
      <c r="D19" s="75" t="s">
        <v>81</v>
      </c>
      <c r="E19" s="76"/>
      <c r="F19" s="76"/>
      <c r="G19" s="77"/>
      <c r="H19" s="1"/>
      <c r="I19" s="1"/>
    </row>
    <row r="20" spans="1:9" x14ac:dyDescent="0.25">
      <c r="A20" s="1"/>
      <c r="B20" s="1"/>
      <c r="C20" s="6" t="s">
        <v>46</v>
      </c>
      <c r="D20" s="75" t="s">
        <v>113</v>
      </c>
      <c r="E20" s="76"/>
      <c r="F20" s="76"/>
      <c r="G20" s="77"/>
      <c r="H20" s="1"/>
      <c r="I20" s="1"/>
    </row>
    <row r="21" spans="1:9" x14ac:dyDescent="0.25">
      <c r="A21" s="1"/>
      <c r="B21" s="1"/>
      <c r="C21" s="6" t="s">
        <v>157</v>
      </c>
      <c r="D21" s="75" t="s">
        <v>108</v>
      </c>
      <c r="E21" s="76"/>
      <c r="F21" s="76"/>
      <c r="G21" s="77"/>
      <c r="H21" s="1"/>
      <c r="I21" s="1"/>
    </row>
    <row r="22" spans="1:9" x14ac:dyDescent="0.25">
      <c r="A22" s="1"/>
      <c r="B22" s="1"/>
      <c r="C22" s="6" t="s">
        <v>120</v>
      </c>
      <c r="D22" s="75" t="s">
        <v>35</v>
      </c>
      <c r="E22" s="76"/>
      <c r="F22" s="76"/>
      <c r="G22" s="77"/>
      <c r="H22" s="1"/>
      <c r="I22" s="1"/>
    </row>
    <row r="23" spans="1:9" x14ac:dyDescent="0.25">
      <c r="A23" s="1"/>
      <c r="B23" s="1"/>
      <c r="C23" s="6" t="s">
        <v>121</v>
      </c>
      <c r="D23" s="75" t="s">
        <v>36</v>
      </c>
      <c r="E23" s="76"/>
      <c r="F23" s="76"/>
      <c r="G23" s="77"/>
      <c r="H23" s="1"/>
      <c r="I23" s="1"/>
    </row>
    <row r="24" spans="1:9" x14ac:dyDescent="0.25">
      <c r="A24" s="1"/>
      <c r="B24" s="1"/>
      <c r="C24" s="6" t="s">
        <v>9</v>
      </c>
      <c r="D24" s="75" t="s">
        <v>53</v>
      </c>
      <c r="E24" s="76"/>
      <c r="F24" s="76"/>
      <c r="G24" s="77"/>
      <c r="H24" s="1"/>
      <c r="I24" s="1"/>
    </row>
    <row r="25" spans="1:9" x14ac:dyDescent="0.25">
      <c r="A25" s="1"/>
      <c r="B25" s="1"/>
      <c r="C25" s="6" t="s">
        <v>41</v>
      </c>
      <c r="D25" s="75" t="s">
        <v>30</v>
      </c>
      <c r="E25" s="76"/>
      <c r="F25" s="76"/>
      <c r="G25" s="77"/>
      <c r="H25" s="1"/>
      <c r="I25" s="1"/>
    </row>
    <row r="26" spans="1:9" x14ac:dyDescent="0.25">
      <c r="A26" s="1"/>
      <c r="B26" s="1"/>
      <c r="C26" s="6" t="s">
        <v>122</v>
      </c>
      <c r="D26" s="78" t="s">
        <v>47</v>
      </c>
      <c r="E26" s="79"/>
      <c r="F26" s="79"/>
      <c r="G26" s="80"/>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FkRNtFQ0ppMZagkyw1YzkOpD/EwE4uSwGnu3WHWpOUewgv9vd/dVYaQ0QDD4GucBOFnnWivmQES5G1pBCN8u5Q==" saltValue="1LVxBLfXIS/0AdZ5uPsYG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2"/>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114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101</v>
      </c>
      <c r="C8" s="112"/>
      <c r="D8" s="112"/>
      <c r="E8" s="112"/>
      <c r="F8" s="112"/>
      <c r="G8" s="112"/>
      <c r="H8" s="112"/>
      <c r="I8" s="112"/>
      <c r="J8" s="112"/>
      <c r="K8" s="113"/>
      <c r="L8" s="1"/>
    </row>
    <row r="9" spans="1:12" ht="39.75" customHeight="1" x14ac:dyDescent="0.25">
      <c r="A9" s="1"/>
      <c r="B9" s="48" t="s">
        <v>0</v>
      </c>
      <c r="C9" s="16" t="s">
        <v>1</v>
      </c>
      <c r="D9" s="127" t="s">
        <v>111</v>
      </c>
      <c r="E9" s="128"/>
      <c r="F9" s="127" t="s">
        <v>2</v>
      </c>
      <c r="G9" s="128"/>
      <c r="H9" s="127" t="s">
        <v>112</v>
      </c>
      <c r="I9" s="128"/>
      <c r="J9" s="127" t="s">
        <v>23</v>
      </c>
      <c r="K9" s="128"/>
      <c r="L9" s="1"/>
    </row>
    <row r="10" spans="1:12" ht="26.25" x14ac:dyDescent="0.25">
      <c r="A10" s="1"/>
      <c r="B10" s="55" t="s">
        <v>144</v>
      </c>
      <c r="C10" s="29">
        <v>25</v>
      </c>
      <c r="D10" s="8">
        <v>4320</v>
      </c>
      <c r="E10" s="12" t="s">
        <v>3</v>
      </c>
      <c r="F10" s="8">
        <f>IFERROR(D10/C10,0)</f>
        <v>172.8</v>
      </c>
      <c r="G10" s="12" t="s">
        <v>3</v>
      </c>
      <c r="H10" s="8"/>
      <c r="I10" s="12" t="s">
        <v>3</v>
      </c>
      <c r="J10" s="8">
        <v>114</v>
      </c>
      <c r="K10" s="12" t="s">
        <v>3</v>
      </c>
      <c r="L10" s="1"/>
    </row>
    <row r="11" spans="1:12" x14ac:dyDescent="0.25">
      <c r="A11" s="1"/>
      <c r="B11" s="55" t="s">
        <v>145</v>
      </c>
      <c r="C11" s="29">
        <v>25</v>
      </c>
      <c r="D11" s="8">
        <v>77748</v>
      </c>
      <c r="E11" s="12" t="s">
        <v>3</v>
      </c>
      <c r="F11" s="8">
        <f t="shared" ref="F11:F17" si="0">IFERROR(D11/C11,0)</f>
        <v>3109.92</v>
      </c>
      <c r="G11" s="12" t="s">
        <v>3</v>
      </c>
      <c r="H11" s="8"/>
      <c r="I11" s="12" t="s">
        <v>3</v>
      </c>
      <c r="J11" s="8">
        <v>2045</v>
      </c>
      <c r="K11" s="12" t="s">
        <v>3</v>
      </c>
      <c r="L11" s="1"/>
    </row>
    <row r="12" spans="1:12" ht="26.25" x14ac:dyDescent="0.25">
      <c r="A12" s="1"/>
      <c r="B12" s="55" t="s">
        <v>146</v>
      </c>
      <c r="C12" s="29">
        <v>25</v>
      </c>
      <c r="D12" s="8">
        <v>169427</v>
      </c>
      <c r="E12" s="12" t="s">
        <v>3</v>
      </c>
      <c r="F12" s="8">
        <f t="shared" si="0"/>
        <v>6777.08</v>
      </c>
      <c r="G12" s="12" t="s">
        <v>3</v>
      </c>
      <c r="H12" s="8"/>
      <c r="I12" s="12" t="s">
        <v>3</v>
      </c>
      <c r="J12" s="8">
        <v>4456</v>
      </c>
      <c r="K12" s="12" t="s">
        <v>3</v>
      </c>
      <c r="L12" s="1"/>
    </row>
    <row r="13" spans="1:12" ht="26.25" x14ac:dyDescent="0.25">
      <c r="A13" s="1"/>
      <c r="B13" s="55" t="s">
        <v>147</v>
      </c>
      <c r="C13" s="29">
        <v>50</v>
      </c>
      <c r="D13" s="8">
        <v>89105</v>
      </c>
      <c r="E13" s="12" t="s">
        <v>3</v>
      </c>
      <c r="F13" s="8">
        <f t="shared" ref="F13:F14" si="1">IFERROR(D13/C13,0)</f>
        <v>1782.1</v>
      </c>
      <c r="G13" s="12" t="s">
        <v>3</v>
      </c>
      <c r="H13" s="8"/>
      <c r="I13" s="12" t="s">
        <v>3</v>
      </c>
      <c r="J13" s="8">
        <v>2342</v>
      </c>
      <c r="K13" s="12" t="s">
        <v>3</v>
      </c>
      <c r="L13" s="1"/>
    </row>
    <row r="14" spans="1:12" ht="39" x14ac:dyDescent="0.25">
      <c r="A14" s="1"/>
      <c r="B14" s="55" t="s">
        <v>148</v>
      </c>
      <c r="C14" s="29">
        <v>50</v>
      </c>
      <c r="D14" s="8">
        <v>73810</v>
      </c>
      <c r="E14" s="12" t="s">
        <v>3</v>
      </c>
      <c r="F14" s="8">
        <f t="shared" si="1"/>
        <v>1476.2</v>
      </c>
      <c r="G14" s="12" t="s">
        <v>3</v>
      </c>
      <c r="H14" s="8"/>
      <c r="I14" s="12" t="s">
        <v>3</v>
      </c>
      <c r="J14" s="8">
        <v>1941</v>
      </c>
      <c r="K14" s="12" t="s">
        <v>3</v>
      </c>
      <c r="L14" s="1"/>
    </row>
    <row r="15" spans="1:12" x14ac:dyDescent="0.25">
      <c r="A15" s="1"/>
      <c r="B15" s="55" t="s">
        <v>149</v>
      </c>
      <c r="C15" s="29">
        <v>10</v>
      </c>
      <c r="D15" s="8">
        <v>40034</v>
      </c>
      <c r="E15" s="12" t="s">
        <v>3</v>
      </c>
      <c r="F15" s="8">
        <f t="shared" ref="F15" si="2">IFERROR(D15/C15,0)</f>
        <v>4003.4</v>
      </c>
      <c r="G15" s="12" t="s">
        <v>3</v>
      </c>
      <c r="H15" s="8"/>
      <c r="I15" s="12" t="s">
        <v>3</v>
      </c>
      <c r="J15" s="8">
        <v>1053</v>
      </c>
      <c r="K15" s="12" t="s">
        <v>3</v>
      </c>
      <c r="L15" s="1"/>
    </row>
    <row r="16" spans="1:12" ht="26.25" x14ac:dyDescent="0.25">
      <c r="A16" s="1"/>
      <c r="B16" s="55" t="s">
        <v>150</v>
      </c>
      <c r="C16" s="29">
        <v>25</v>
      </c>
      <c r="D16" s="8">
        <v>21318</v>
      </c>
      <c r="E16" s="12" t="s">
        <v>3</v>
      </c>
      <c r="F16" s="8">
        <f t="shared" si="0"/>
        <v>852.72</v>
      </c>
      <c r="G16" s="12" t="s">
        <v>3</v>
      </c>
      <c r="H16" s="8"/>
      <c r="I16" s="12" t="s">
        <v>3</v>
      </c>
      <c r="J16" s="8">
        <v>561</v>
      </c>
      <c r="K16" s="12" t="s">
        <v>3</v>
      </c>
      <c r="L16" s="1"/>
    </row>
    <row r="17" spans="1:12" ht="39" x14ac:dyDescent="0.25">
      <c r="A17" s="1"/>
      <c r="B17" s="55" t="s">
        <v>151</v>
      </c>
      <c r="C17" s="29">
        <v>25</v>
      </c>
      <c r="D17" s="8">
        <v>28344</v>
      </c>
      <c r="E17" s="12" t="s">
        <v>3</v>
      </c>
      <c r="F17" s="8">
        <f t="shared" si="0"/>
        <v>1133.76</v>
      </c>
      <c r="G17" s="12" t="s">
        <v>3</v>
      </c>
      <c r="H17" s="8"/>
      <c r="I17" s="12" t="s">
        <v>3</v>
      </c>
      <c r="J17" s="8">
        <v>746</v>
      </c>
      <c r="K17" s="12" t="s">
        <v>3</v>
      </c>
      <c r="L17" s="1"/>
    </row>
    <row r="18" spans="1:12" x14ac:dyDescent="0.25">
      <c r="A18" s="1"/>
      <c r="B18" s="63" t="s">
        <v>102</v>
      </c>
      <c r="C18" s="64"/>
      <c r="D18" s="65"/>
      <c r="E18" s="65"/>
      <c r="F18" s="10">
        <f>SUM(F10:F17)</f>
        <v>19307.98</v>
      </c>
      <c r="G18" s="11" t="s">
        <v>3</v>
      </c>
      <c r="H18" s="10">
        <f>SUM(H10:H17)</f>
        <v>0</v>
      </c>
      <c r="I18" s="11" t="s">
        <v>3</v>
      </c>
      <c r="J18" s="10">
        <f>SUM(J10:J17)</f>
        <v>13258</v>
      </c>
      <c r="K18" s="11" t="s">
        <v>3</v>
      </c>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sheetData>
  <sheetProtection algorithmName="SHA-512" hashValue="fh0aOAfZJdosmWrdb/Xdc4fyjoWON48Wc1t4MRi/4MwMmR2QycwFbY2yeTCy1Hw6M2B16oT/43AT7b0A4GBnvA==" saltValue="jxAaH64G7eo30/dCi+cul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32</v>
      </c>
      <c r="C8" s="22"/>
      <c r="D8" s="22"/>
      <c r="E8" s="22"/>
      <c r="F8" s="73"/>
      <c r="G8" s="1"/>
    </row>
    <row r="9" spans="1:7" ht="17.25" customHeight="1" x14ac:dyDescent="0.25">
      <c r="A9" s="1"/>
      <c r="B9" s="61" t="s">
        <v>15</v>
      </c>
      <c r="C9" s="61" t="s">
        <v>10</v>
      </c>
      <c r="D9" s="62"/>
      <c r="E9" s="61" t="s">
        <v>24</v>
      </c>
      <c r="F9" s="71"/>
      <c r="G9" s="1"/>
    </row>
    <row r="10" spans="1:7" x14ac:dyDescent="0.25">
      <c r="A10" s="1"/>
      <c r="B10" s="20" t="s">
        <v>133</v>
      </c>
      <c r="C10" s="19">
        <f>'Fane 7. Anlægsprojekter (§ 19)'!H18</f>
        <v>0</v>
      </c>
      <c r="D10" s="12" t="s">
        <v>3</v>
      </c>
      <c r="E10" s="8">
        <f>SUM('Fane 7. Anlægsprojekter (§ 19)'!F18,'Fane 7. Anlægsprojekter (§ 19)'!J18)</f>
        <v>32565.98</v>
      </c>
      <c r="F10" s="12" t="s">
        <v>3</v>
      </c>
      <c r="G10" s="1"/>
    </row>
    <row r="11" spans="1:7" x14ac:dyDescent="0.25">
      <c r="A11" s="1"/>
      <c r="B11" s="72" t="s">
        <v>67</v>
      </c>
      <c r="C11" s="10">
        <f>SUM(C10:C10)</f>
        <v>0</v>
      </c>
      <c r="D11" s="11" t="s">
        <v>3</v>
      </c>
      <c r="E11" s="10">
        <f>SUM(E10:E10)</f>
        <v>32565.98</v>
      </c>
      <c r="F11" s="11" t="s">
        <v>3</v>
      </c>
      <c r="G11" s="1"/>
    </row>
    <row r="12" spans="1:7" x14ac:dyDescent="0.25">
      <c r="A12" s="1"/>
      <c r="B12" s="72" t="s">
        <v>98</v>
      </c>
      <c r="C12" s="10">
        <f>C11*(1+'Fane 11. Nøgletal'!C15)</f>
        <v>0</v>
      </c>
      <c r="D12" s="11" t="s">
        <v>3</v>
      </c>
      <c r="E12" s="10">
        <f>E11*(1+'Fane 11. Nøgletal'!C15)</f>
        <v>33725.328888000004</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7sW/SvITV0JZpVLuS4yfXLfPlEfXtQmMmnelATsgdR20Mv6ig527S6BnM5/6D8vpnzaI5LH5FpUmQm/KzJrBaQ==" saltValue="0FWmCoQbRBi8JjUxEUuub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11" t="s">
        <v>42</v>
      </c>
      <c r="C7" s="112"/>
      <c r="D7" s="112"/>
      <c r="E7" s="112"/>
      <c r="F7" s="113"/>
      <c r="G7" s="1"/>
    </row>
    <row r="8" spans="1:7" x14ac:dyDescent="0.25">
      <c r="A8" s="1"/>
      <c r="B8" s="61" t="s">
        <v>15</v>
      </c>
      <c r="C8" s="61" t="s">
        <v>10</v>
      </c>
      <c r="D8" s="62"/>
      <c r="E8" s="61" t="s">
        <v>24</v>
      </c>
      <c r="F8" s="71"/>
      <c r="G8" s="1"/>
    </row>
    <row r="9" spans="1:7" x14ac:dyDescent="0.25">
      <c r="A9" s="1"/>
      <c r="B9" s="20" t="s">
        <v>158</v>
      </c>
      <c r="C9" s="19">
        <v>0</v>
      </c>
      <c r="D9" s="12" t="s">
        <v>3</v>
      </c>
      <c r="E9" s="19">
        <v>0</v>
      </c>
      <c r="F9" s="12" t="s">
        <v>3</v>
      </c>
      <c r="G9" s="1"/>
    </row>
    <row r="10" spans="1:7" x14ac:dyDescent="0.25">
      <c r="A10" s="1"/>
      <c r="B10" s="72" t="s">
        <v>107</v>
      </c>
      <c r="C10" s="10">
        <f>SUM(C9:C9)</f>
        <v>0</v>
      </c>
      <c r="D10" s="11" t="s">
        <v>3</v>
      </c>
      <c r="E10" s="10">
        <f>SUM(E9:E9)</f>
        <v>0</v>
      </c>
      <c r="F10" s="11" t="s">
        <v>3</v>
      </c>
      <c r="G10" s="1"/>
    </row>
    <row r="11" spans="1:7" x14ac:dyDescent="0.25">
      <c r="A11" s="1"/>
      <c r="B11" s="72"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9"/>
      <c r="C13" s="129"/>
      <c r="D13" s="129"/>
      <c r="E13" s="129"/>
      <c r="F13" s="129"/>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29"/>
      <c r="C20" s="129"/>
      <c r="D20" s="129"/>
      <c r="E20" s="129"/>
      <c r="F20" s="129"/>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SS/e4nIFxoYCjrm8krZHZcEDTANxuShHGYNGgv9T+ne+mzqNm5g966bRzbbkiobd3HDRkmck1O2C/BOQJSwajQ==" saltValue="mbirkOVW6cAaoTr3NFIOe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58</v>
      </c>
      <c r="C8" s="112"/>
      <c r="D8" s="112"/>
      <c r="E8" s="112"/>
      <c r="F8" s="113"/>
      <c r="G8" s="1"/>
    </row>
    <row r="9" spans="1:7" ht="15" customHeight="1" x14ac:dyDescent="0.25">
      <c r="A9" s="1"/>
      <c r="B9" s="70" t="s">
        <v>61</v>
      </c>
      <c r="C9" s="130" t="s">
        <v>10</v>
      </c>
      <c r="D9" s="131"/>
      <c r="E9" s="130" t="s">
        <v>24</v>
      </c>
      <c r="F9" s="131"/>
      <c r="G9" s="1"/>
    </row>
    <row r="10" spans="1:7" x14ac:dyDescent="0.25">
      <c r="A10" s="1"/>
      <c r="B10" s="20" t="s">
        <v>134</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NfzhDRTnK8mTl4iZw6jDHCuh0q6P1GFPN/wDTpVRJ3U7juD71UL+/IpQtmvsE7e9MouBP53+acChWukW8Q2GNQ==" saltValue="6sJ1J1km9qrWE7z9+W+t8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40</v>
      </c>
      <c r="C9" s="112"/>
      <c r="D9" s="112"/>
      <c r="E9" s="112"/>
      <c r="F9" s="113"/>
      <c r="G9" s="1"/>
    </row>
    <row r="10" spans="1:7" ht="26.25" x14ac:dyDescent="0.25">
      <c r="A10" s="1"/>
      <c r="B10" s="70" t="s">
        <v>16</v>
      </c>
      <c r="C10" s="70" t="s">
        <v>10</v>
      </c>
      <c r="D10" s="71"/>
      <c r="E10" s="70" t="s">
        <v>24</v>
      </c>
      <c r="F10" s="71"/>
      <c r="G10" s="1"/>
    </row>
    <row r="11" spans="1:7" x14ac:dyDescent="0.25">
      <c r="A11" s="1"/>
      <c r="B11" s="20" t="s">
        <v>135</v>
      </c>
      <c r="C11" s="8">
        <v>0</v>
      </c>
      <c r="D11" s="12" t="s">
        <v>3</v>
      </c>
      <c r="E11" s="8">
        <v>0</v>
      </c>
      <c r="F11" s="12" t="s">
        <v>3</v>
      </c>
      <c r="G11" s="1"/>
    </row>
    <row r="12" spans="1:7" x14ac:dyDescent="0.25">
      <c r="A12" s="1"/>
      <c r="B12" s="72" t="s">
        <v>104</v>
      </c>
      <c r="C12" s="10">
        <f>SUM(C11:C11)</f>
        <v>0</v>
      </c>
      <c r="D12" s="11" t="s">
        <v>3</v>
      </c>
      <c r="E12" s="10">
        <f>SUM(E11:E11)</f>
        <v>0</v>
      </c>
      <c r="F12" s="11" t="s">
        <v>3</v>
      </c>
      <c r="G12" s="1"/>
    </row>
    <row r="13" spans="1:7" x14ac:dyDescent="0.25">
      <c r="A13" s="1"/>
      <c r="B13" s="72"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9"/>
      <c r="C15" s="129"/>
      <c r="D15" s="129"/>
      <c r="E15" s="129"/>
      <c r="F15" s="129"/>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29"/>
      <c r="C21" s="129"/>
      <c r="D21" s="129"/>
      <c r="E21" s="129"/>
      <c r="F21" s="129"/>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l/df7fEihfQzhSU9C77r9M0F7HGJ4FmdBtV/+Y93wu3BjT4a02HaC0Qmit0beB1NbFgQZ+wO7HxoOlVwdxdCAA==" saltValue="OT6aAu5kaC6pr/ZZGyQRu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119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2"/>
      <c r="C16" s="73"/>
      <c r="D16" s="1"/>
    </row>
    <row r="17" spans="1:4" x14ac:dyDescent="0.25">
      <c r="A17" s="1"/>
      <c r="B17" s="1"/>
      <c r="C17" s="1"/>
      <c r="D17" s="1"/>
    </row>
    <row r="18" spans="1:4" x14ac:dyDescent="0.25">
      <c r="A18" s="1"/>
      <c r="B18" s="1"/>
      <c r="C18" s="1"/>
      <c r="D18" s="1"/>
    </row>
    <row r="19" spans="1:4" x14ac:dyDescent="0.25">
      <c r="A19" s="1"/>
      <c r="B19" s="72" t="s">
        <v>44</v>
      </c>
      <c r="C19" s="73"/>
      <c r="D19" s="1"/>
    </row>
    <row r="20" spans="1:4" x14ac:dyDescent="0.25">
      <c r="A20" s="1"/>
      <c r="B20" s="23" t="s">
        <v>48</v>
      </c>
      <c r="C20" s="21">
        <v>1.7000000000000001E-2</v>
      </c>
      <c r="D20" s="1"/>
    </row>
    <row r="21" spans="1:4" x14ac:dyDescent="0.25">
      <c r="A21" s="1"/>
      <c r="B21" s="132"/>
      <c r="C21" s="133"/>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mkpyXbl1wpbx4ArDvTE1JNFATCbvCgqz3wgnWJuIqF1jEKfwSvoQvv11fSoRE8xPZpR3jDdWkN4ZVusZBRjKQQ==" saltValue="pFlyZV8tp7tMbof7mrL6w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82</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6" t="s">
        <v>12</v>
      </c>
      <c r="C8" s="56"/>
      <c r="D8" s="56"/>
      <c r="E8" s="56"/>
      <c r="F8" s="56"/>
      <c r="G8" s="1"/>
    </row>
    <row r="9" spans="1:7" x14ac:dyDescent="0.25">
      <c r="A9" s="1"/>
      <c r="B9" s="53" t="s">
        <v>55</v>
      </c>
      <c r="C9" s="53"/>
      <c r="D9" s="53"/>
      <c r="E9" s="7">
        <f>'Fane 3. Omkostninger i ØR2022'!E16</f>
        <v>9908144.4970026091</v>
      </c>
      <c r="F9" s="53" t="s">
        <v>3</v>
      </c>
      <c r="G9" s="1"/>
    </row>
    <row r="10" spans="1:7" ht="17.100000000000001" customHeight="1" x14ac:dyDescent="0.25">
      <c r="A10" s="1"/>
      <c r="B10" s="24" t="s">
        <v>50</v>
      </c>
      <c r="C10" s="53"/>
      <c r="D10" s="53"/>
      <c r="E10" s="7">
        <f>'Fane 8.1. Varige tillæg'!C12+'Fane 8.1. Varige tillæg'!E12</f>
        <v>33725.328888000004</v>
      </c>
      <c r="F10" s="53" t="s">
        <v>3</v>
      </c>
      <c r="G10" s="1"/>
    </row>
    <row r="11" spans="1:7" ht="17.100000000000001" customHeight="1" x14ac:dyDescent="0.25">
      <c r="A11" s="1"/>
      <c r="B11" s="24" t="s">
        <v>52</v>
      </c>
      <c r="C11" s="53"/>
      <c r="D11" s="53"/>
      <c r="E11" s="8">
        <f>-('Fane 10. Bortfald'!C13+'Fane 10. Bortfald'!E13)</f>
        <v>0</v>
      </c>
      <c r="F11" s="53" t="s">
        <v>3</v>
      </c>
      <c r="G11" s="1"/>
    </row>
    <row r="12" spans="1:7" ht="17.100000000000001" customHeight="1" x14ac:dyDescent="0.25">
      <c r="A12" s="1"/>
      <c r="B12" s="24" t="s">
        <v>54</v>
      </c>
      <c r="C12" s="53"/>
      <c r="D12" s="53"/>
      <c r="E12" s="8">
        <f>'Fane 9. Tilknyttet virksomhed'!C12+'Fane 9. Tilknyttet virksomhed'!E12</f>
        <v>0</v>
      </c>
      <c r="F12" s="53" t="s">
        <v>3</v>
      </c>
      <c r="G12" s="1"/>
    </row>
    <row r="13" spans="1:7" ht="17.100000000000001" customHeight="1" x14ac:dyDescent="0.25">
      <c r="A13" s="1"/>
      <c r="B13" s="24" t="s">
        <v>17</v>
      </c>
      <c r="C13" s="53"/>
      <c r="D13" s="53"/>
      <c r="E13" s="8">
        <f>SUM(E9:E12)*'Fane 11. Nøgletal'!C15</f>
        <v>353930.5658017057</v>
      </c>
      <c r="F13" s="53" t="s">
        <v>3</v>
      </c>
      <c r="G13" s="1"/>
    </row>
    <row r="14" spans="1:7" ht="17.100000000000001" customHeight="1" x14ac:dyDescent="0.25">
      <c r="A14" s="1"/>
      <c r="B14" s="24" t="s">
        <v>44</v>
      </c>
      <c r="C14" s="53"/>
      <c r="D14" s="53"/>
      <c r="E14" s="8">
        <f>-SUM(E9,E10:E13)*'Fane 11. Nøgletal'!C20</f>
        <v>-175028.60665876939</v>
      </c>
      <c r="F14" s="53" t="s">
        <v>3</v>
      </c>
      <c r="G14" s="1"/>
    </row>
    <row r="15" spans="1:7" ht="15" customHeight="1" x14ac:dyDescent="0.25">
      <c r="A15" s="1"/>
      <c r="B15" s="66" t="s">
        <v>19</v>
      </c>
      <c r="C15" s="28"/>
      <c r="D15" s="28"/>
      <c r="E15" s="9">
        <f>SUM(E9,E10:E14)</f>
        <v>10120771.785033546</v>
      </c>
      <c r="F15" s="57" t="s">
        <v>3</v>
      </c>
      <c r="G15" s="1"/>
    </row>
    <row r="16" spans="1:7" ht="15" customHeight="1" x14ac:dyDescent="0.25">
      <c r="A16" s="1"/>
      <c r="B16" s="56" t="s">
        <v>11</v>
      </c>
      <c r="C16" s="56"/>
      <c r="D16" s="56"/>
      <c r="E16" s="56"/>
      <c r="F16" s="56"/>
      <c r="G16" s="1"/>
    </row>
    <row r="17" spans="1:7" ht="15" customHeight="1" x14ac:dyDescent="0.25">
      <c r="A17" s="1"/>
      <c r="B17" s="57" t="s">
        <v>11</v>
      </c>
      <c r="C17" s="57"/>
      <c r="D17" s="57"/>
      <c r="E17" s="9">
        <f>'Fane 4. Ikke-påvirkelige omk.'!C13</f>
        <v>4007729.0168006402</v>
      </c>
      <c r="F17" s="57" t="s">
        <v>3</v>
      </c>
      <c r="G17" s="1"/>
    </row>
    <row r="18" spans="1:7" ht="15" customHeight="1" x14ac:dyDescent="0.25">
      <c r="A18" s="1"/>
      <c r="B18" s="56" t="s">
        <v>36</v>
      </c>
      <c r="C18" s="56"/>
      <c r="D18" s="56"/>
      <c r="E18" s="56"/>
      <c r="F18" s="56"/>
      <c r="G18" s="1"/>
    </row>
    <row r="19" spans="1:7" ht="15" customHeight="1" x14ac:dyDescent="0.25">
      <c r="A19" s="1"/>
      <c r="B19" s="24" t="s">
        <v>33</v>
      </c>
      <c r="C19" s="53"/>
      <c r="D19" s="53"/>
      <c r="E19" s="8">
        <f>'Fane 8.2. Engangstillæg'!C11</f>
        <v>0</v>
      </c>
      <c r="F19" s="53" t="s">
        <v>3</v>
      </c>
      <c r="G19" s="1"/>
    </row>
    <row r="20" spans="1:7" x14ac:dyDescent="0.25">
      <c r="A20" s="1"/>
      <c r="B20" s="24" t="s">
        <v>34</v>
      </c>
      <c r="C20" s="53"/>
      <c r="D20" s="53"/>
      <c r="E20" s="8">
        <f>'Fane 8.2. Engangstillæg'!E11</f>
        <v>0</v>
      </c>
      <c r="F20" s="53" t="s">
        <v>3</v>
      </c>
      <c r="G20" s="1"/>
    </row>
    <row r="21" spans="1:7" x14ac:dyDescent="0.25">
      <c r="A21" s="1"/>
      <c r="B21" s="24" t="s">
        <v>106</v>
      </c>
      <c r="C21" s="53"/>
      <c r="D21" s="53"/>
      <c r="E21" s="8">
        <f>-SUM(E19:E20)*'Fane 11. Nøgletal'!C20</f>
        <v>0</v>
      </c>
      <c r="F21" s="53" t="s">
        <v>3</v>
      </c>
      <c r="G21" s="1"/>
    </row>
    <row r="22" spans="1:7" ht="15" customHeight="1" x14ac:dyDescent="0.25">
      <c r="A22" s="1"/>
      <c r="B22" s="66" t="s">
        <v>37</v>
      </c>
      <c r="C22" s="28"/>
      <c r="D22" s="28"/>
      <c r="E22" s="9">
        <f>SUM(E19:E21)</f>
        <v>0</v>
      </c>
      <c r="F22" s="57" t="s">
        <v>3</v>
      </c>
      <c r="G22" s="1"/>
    </row>
    <row r="23" spans="1:7" x14ac:dyDescent="0.25">
      <c r="A23" s="1"/>
      <c r="B23" s="56" t="s">
        <v>62</v>
      </c>
      <c r="C23" s="56"/>
      <c r="D23" s="56"/>
      <c r="E23" s="56"/>
      <c r="F23" s="56"/>
      <c r="G23" s="1"/>
    </row>
    <row r="24" spans="1:7" x14ac:dyDescent="0.25">
      <c r="A24" s="1"/>
      <c r="B24" s="66" t="s">
        <v>63</v>
      </c>
      <c r="C24" s="31"/>
      <c r="D24" s="31"/>
      <c r="E24" s="9">
        <f>'Fane 5. Kontrol af ØR2021'!E30</f>
        <v>0</v>
      </c>
      <c r="F24" s="57" t="s">
        <v>3</v>
      </c>
      <c r="G24" s="1"/>
    </row>
    <row r="25" spans="1:7" x14ac:dyDescent="0.25">
      <c r="A25" s="1"/>
      <c r="B25" s="56" t="s">
        <v>75</v>
      </c>
      <c r="C25" s="56"/>
      <c r="D25" s="56"/>
      <c r="E25" s="56"/>
      <c r="F25" s="56"/>
      <c r="G25" s="1"/>
    </row>
    <row r="26" spans="1:7" x14ac:dyDescent="0.25">
      <c r="A26" s="1"/>
      <c r="B26" s="57" t="s">
        <v>76</v>
      </c>
      <c r="C26" s="57"/>
      <c r="D26" s="57"/>
      <c r="E26" s="9">
        <f>'Fane 6. Skattesagen'!G12</f>
        <v>0</v>
      </c>
      <c r="F26" s="57" t="s">
        <v>3</v>
      </c>
      <c r="G26" s="1"/>
    </row>
    <row r="27" spans="1:7" x14ac:dyDescent="0.25">
      <c r="A27" s="1"/>
      <c r="B27" s="56" t="s">
        <v>39</v>
      </c>
      <c r="C27" s="56"/>
      <c r="D27" s="56"/>
      <c r="E27" s="10">
        <f>SUM(E15:E17:E22:E24:E26)</f>
        <v>14128500.801834187</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NypukcoT3A/IdG8Sq5rwX92bV0DOwZqkLRtWRTI1jIOgRh9/wxrdA40DwH739uR1OPzqp2Tx2rYCBIum/ykG4w==" saltValue="Ls9WdUF3QKT8Osznqc3HL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15" customHeight="1" x14ac:dyDescent="0.25">
      <c r="A4" s="1"/>
      <c r="B4" s="90"/>
      <c r="C4" s="90"/>
      <c r="D4" s="90"/>
      <c r="E4" s="90"/>
      <c r="F4" s="90"/>
      <c r="G4" s="1"/>
    </row>
    <row r="5" spans="1:7" x14ac:dyDescent="0.25">
      <c r="A5" s="1"/>
      <c r="B5" s="91"/>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56</v>
      </c>
      <c r="C8" s="53"/>
      <c r="D8" s="53"/>
      <c r="E8" s="7">
        <f>'Fane 2.1. Økonomisk ramme 2023'!E15</f>
        <v>10120771.785033546</v>
      </c>
      <c r="F8" s="53" t="s">
        <v>3</v>
      </c>
      <c r="G8" s="1"/>
    </row>
    <row r="9" spans="1:7" ht="15" customHeight="1" x14ac:dyDescent="0.25">
      <c r="A9" s="1"/>
      <c r="B9" s="54" t="s">
        <v>17</v>
      </c>
      <c r="C9" s="53"/>
      <c r="D9" s="53"/>
      <c r="E9" s="8">
        <f>SUM(E8:E8)*'Fane 11. Nøgletal'!C15</f>
        <v>360299.47554719425</v>
      </c>
      <c r="F9" s="53" t="s">
        <v>3</v>
      </c>
      <c r="G9" s="1"/>
    </row>
    <row r="10" spans="1:7" ht="15" customHeight="1" x14ac:dyDescent="0.25">
      <c r="A10" s="1"/>
      <c r="B10" s="54" t="s">
        <v>44</v>
      </c>
      <c r="C10" s="53"/>
      <c r="D10" s="53"/>
      <c r="E10" s="8">
        <f>-SUM(E8:E9)*'Fane 11. Nøgletal'!C20</f>
        <v>-178178.21142987261</v>
      </c>
      <c r="F10" s="53" t="s">
        <v>3</v>
      </c>
      <c r="G10" s="1"/>
    </row>
    <row r="11" spans="1:7" ht="15" customHeight="1" x14ac:dyDescent="0.25">
      <c r="A11" s="1"/>
      <c r="B11" s="28" t="s">
        <v>19</v>
      </c>
      <c r="C11" s="28"/>
      <c r="D11" s="28"/>
      <c r="E11" s="9">
        <f>SUM(E8:E10)</f>
        <v>10302893.049150867</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omk.'!C13*(1+'Fane 11. Nøgletal'!C15)</f>
        <v>4150404.1697987434</v>
      </c>
      <c r="F13" s="57" t="s">
        <v>3</v>
      </c>
      <c r="G13" s="1"/>
    </row>
    <row r="14" spans="1:7" x14ac:dyDescent="0.25">
      <c r="A14" s="1"/>
      <c r="B14" s="56" t="s">
        <v>62</v>
      </c>
      <c r="C14" s="56"/>
      <c r="D14" s="56"/>
      <c r="E14" s="56"/>
      <c r="F14" s="56"/>
      <c r="G14" s="1"/>
    </row>
    <row r="15" spans="1:7" x14ac:dyDescent="0.25">
      <c r="A15" s="1"/>
      <c r="B15" s="57" t="s">
        <v>77</v>
      </c>
      <c r="C15" s="32"/>
      <c r="D15" s="32"/>
      <c r="E15" s="9">
        <f>'Fane 5. Kontrol af ØR2021'!E30</f>
        <v>0</v>
      </c>
      <c r="F15" s="57" t="s">
        <v>3</v>
      </c>
      <c r="G15" s="1"/>
    </row>
    <row r="16" spans="1:7" x14ac:dyDescent="0.25">
      <c r="A16" s="1"/>
      <c r="B16" s="56" t="s">
        <v>75</v>
      </c>
      <c r="C16" s="56"/>
      <c r="D16" s="56"/>
      <c r="E16" s="56"/>
      <c r="F16" s="56"/>
      <c r="G16" s="1"/>
    </row>
    <row r="17" spans="1:7" x14ac:dyDescent="0.25">
      <c r="A17" s="1"/>
      <c r="B17" s="57" t="s">
        <v>76</v>
      </c>
      <c r="C17" s="57"/>
      <c r="D17" s="57"/>
      <c r="E17" s="9">
        <f>'Fane 6. Skattesagen'!G13</f>
        <v>0</v>
      </c>
      <c r="F17" s="57" t="s">
        <v>3</v>
      </c>
      <c r="G17" s="1"/>
    </row>
    <row r="18" spans="1:7" x14ac:dyDescent="0.25">
      <c r="A18" s="1"/>
      <c r="B18" s="56" t="s">
        <v>57</v>
      </c>
      <c r="C18" s="56"/>
      <c r="D18" s="56"/>
      <c r="E18" s="10">
        <f>SUM(E11,E13,E15,E17)</f>
        <v>14453297.21894961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pLIXNGgr4O67y6+PsUi0dxKFQl52kPcYM+HYWcn8ihxQvteJfNOh+OBwfbtyjqCYk8GbV7mw9/9jr4SZX4c59A==" saltValue="hz+JcZrdBMhtFSyhCmghT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65</v>
      </c>
      <c r="C8" s="53"/>
      <c r="D8" s="53"/>
      <c r="E8" s="7">
        <f>'Fane 2.2. Økonomisk ramme 2024'!E11</f>
        <v>10302893.049150867</v>
      </c>
      <c r="F8" s="53" t="s">
        <v>3</v>
      </c>
      <c r="G8" s="1"/>
    </row>
    <row r="9" spans="1:7" ht="15" customHeight="1" x14ac:dyDescent="0.25">
      <c r="A9" s="1"/>
      <c r="B9" s="54" t="s">
        <v>17</v>
      </c>
      <c r="C9" s="53"/>
      <c r="D9" s="53"/>
      <c r="E9" s="8">
        <f>SUM(E8:E8)*'Fane 11. Nøgletal'!C15</f>
        <v>366782.99254977086</v>
      </c>
      <c r="F9" s="53" t="s">
        <v>3</v>
      </c>
      <c r="G9" s="1"/>
    </row>
    <row r="10" spans="1:7" ht="15" customHeight="1" x14ac:dyDescent="0.25">
      <c r="A10" s="1"/>
      <c r="B10" s="54" t="s">
        <v>44</v>
      </c>
      <c r="C10" s="53"/>
      <c r="D10" s="53"/>
      <c r="E10" s="8">
        <f>-SUM(E8:E9)*'Fane 11. Nøgletal'!C20</f>
        <v>-181384.49270891087</v>
      </c>
      <c r="F10" s="53" t="s">
        <v>3</v>
      </c>
      <c r="G10" s="1"/>
    </row>
    <row r="11" spans="1:7" x14ac:dyDescent="0.25">
      <c r="A11" s="1"/>
      <c r="B11" s="28" t="s">
        <v>19</v>
      </c>
      <c r="C11" s="28"/>
      <c r="D11" s="28"/>
      <c r="E11" s="9">
        <f>SUM(E8:E10)</f>
        <v>10488291.548991729</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omk.'!C13*(1+'Fane 11. Nøgletal'!C15)^2</f>
        <v>4298158.5582435783</v>
      </c>
      <c r="F13" s="57" t="s">
        <v>3</v>
      </c>
      <c r="G13" s="1"/>
    </row>
    <row r="14" spans="1:7" ht="15" customHeight="1" x14ac:dyDescent="0.25">
      <c r="A14" s="1"/>
      <c r="B14" s="56" t="s">
        <v>62</v>
      </c>
      <c r="C14" s="56"/>
      <c r="D14" s="56"/>
      <c r="E14" s="56"/>
      <c r="F14" s="56"/>
      <c r="G14" s="1"/>
    </row>
    <row r="15" spans="1:7" ht="15" customHeight="1" x14ac:dyDescent="0.25">
      <c r="A15" s="1"/>
      <c r="B15" s="57" t="s">
        <v>63</v>
      </c>
      <c r="C15" s="32"/>
      <c r="D15" s="32"/>
      <c r="E15" s="9">
        <v>0</v>
      </c>
      <c r="F15" s="57" t="s">
        <v>3</v>
      </c>
      <c r="G15" s="1"/>
    </row>
    <row r="16" spans="1:7" ht="15" customHeight="1" x14ac:dyDescent="0.25">
      <c r="A16" s="1"/>
      <c r="B16" s="56" t="s">
        <v>75</v>
      </c>
      <c r="C16" s="56"/>
      <c r="D16" s="56"/>
      <c r="E16" s="56"/>
      <c r="F16" s="56"/>
      <c r="G16" s="1"/>
    </row>
    <row r="17" spans="1:7" ht="15" customHeight="1" x14ac:dyDescent="0.25">
      <c r="A17" s="1"/>
      <c r="B17" s="57" t="s">
        <v>76</v>
      </c>
      <c r="C17" s="57"/>
      <c r="D17" s="57"/>
      <c r="E17" s="9">
        <f>'Fane 6. Skattesagen'!G14</f>
        <v>0</v>
      </c>
      <c r="F17" s="57" t="s">
        <v>3</v>
      </c>
      <c r="G17" s="1"/>
    </row>
    <row r="18" spans="1:7" x14ac:dyDescent="0.25">
      <c r="A18" s="1"/>
      <c r="B18" s="56" t="s">
        <v>66</v>
      </c>
      <c r="C18" s="56"/>
      <c r="D18" s="56"/>
      <c r="E18" s="10">
        <f>SUM(E11,E13,E15,E17)</f>
        <v>14786450.107235307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qmjPBK/mvAg8FFPfRgSFtIMBh1I2wnTpJrE/vmkxRJKyFCP8pxzthOr2ftteR8aY+1l49/dSdOuVHcpf+X2s/Q==" saltValue="uBp6Yzk1tHEXIyDftdxtn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86</v>
      </c>
      <c r="C8" s="53"/>
      <c r="D8" s="53"/>
      <c r="E8" s="7">
        <f>'Fane 2.3. Økonomisk ramme 2025'!E11</f>
        <v>10488291.548991729</v>
      </c>
      <c r="F8" s="53" t="s">
        <v>3</v>
      </c>
      <c r="G8" s="1"/>
    </row>
    <row r="9" spans="1:7" ht="15" customHeight="1" x14ac:dyDescent="0.25">
      <c r="A9" s="1"/>
      <c r="B9" s="54" t="s">
        <v>17</v>
      </c>
      <c r="C9" s="53"/>
      <c r="D9" s="53"/>
      <c r="E9" s="8">
        <f>SUM(E8:E8)*'Fane 11. Nøgletal'!C15</f>
        <v>373383.17914410552</v>
      </c>
      <c r="F9" s="53" t="s">
        <v>3</v>
      </c>
      <c r="G9" s="1"/>
    </row>
    <row r="10" spans="1:7" ht="15" customHeight="1" x14ac:dyDescent="0.25">
      <c r="A10" s="1"/>
      <c r="B10" s="54" t="s">
        <v>44</v>
      </c>
      <c r="C10" s="53"/>
      <c r="D10" s="53"/>
      <c r="E10" s="8">
        <f>-SUM(E8:E9)*'Fane 11. Nøgletal'!C20</f>
        <v>-184648.4703783092</v>
      </c>
      <c r="F10" s="53" t="s">
        <v>3</v>
      </c>
      <c r="G10" s="1"/>
    </row>
    <row r="11" spans="1:7" x14ac:dyDescent="0.25">
      <c r="A11" s="1"/>
      <c r="B11" s="28" t="s">
        <v>19</v>
      </c>
      <c r="C11" s="28"/>
      <c r="D11" s="28"/>
      <c r="E11" s="9">
        <f>SUM(E8:E10)</f>
        <v>10677026.257757524</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omk.'!C13*(1+'Fane 11. Nøgletal'!C15)^3</f>
        <v>4451173.0029170504</v>
      </c>
      <c r="F13" s="57" t="s">
        <v>3</v>
      </c>
      <c r="G13" s="1"/>
    </row>
    <row r="14" spans="1:7" ht="15" customHeight="1" x14ac:dyDescent="0.25">
      <c r="A14" s="1"/>
      <c r="B14" s="56" t="s">
        <v>62</v>
      </c>
      <c r="C14" s="56"/>
      <c r="D14" s="56"/>
      <c r="E14" s="56"/>
      <c r="F14" s="56"/>
      <c r="G14" s="1"/>
    </row>
    <row r="15" spans="1:7" ht="15" customHeight="1" x14ac:dyDescent="0.25">
      <c r="A15" s="1"/>
      <c r="B15" s="57" t="s">
        <v>63</v>
      </c>
      <c r="C15" s="32"/>
      <c r="D15" s="32"/>
      <c r="E15" s="9">
        <v>0</v>
      </c>
      <c r="F15" s="57" t="s">
        <v>3</v>
      </c>
      <c r="G15" s="1"/>
    </row>
    <row r="16" spans="1:7" ht="15" customHeight="1" x14ac:dyDescent="0.25">
      <c r="A16" s="1"/>
      <c r="B16" s="56" t="s">
        <v>75</v>
      </c>
      <c r="C16" s="56"/>
      <c r="D16" s="56"/>
      <c r="E16" s="56"/>
      <c r="F16" s="56"/>
      <c r="G16" s="1"/>
    </row>
    <row r="17" spans="1:7" ht="15" customHeight="1" x14ac:dyDescent="0.25">
      <c r="A17" s="1"/>
      <c r="B17" s="57" t="s">
        <v>76</v>
      </c>
      <c r="C17" s="57"/>
      <c r="D17" s="57"/>
      <c r="E17" s="9">
        <f>'Fane 6. Skattesagen'!G15</f>
        <v>0</v>
      </c>
      <c r="F17" s="57" t="s">
        <v>3</v>
      </c>
      <c r="G17" s="1"/>
    </row>
    <row r="18" spans="1:7" x14ac:dyDescent="0.25">
      <c r="A18" s="1"/>
      <c r="B18" s="56" t="s">
        <v>87</v>
      </c>
      <c r="C18" s="56"/>
      <c r="D18" s="56"/>
      <c r="E18" s="10">
        <f>SUM(E11,E13,E15,E17)</f>
        <v>15128199.260674573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yfIAvmNmK5/VDHpB9TeP4GaxPlre5/xyOhWdRx9lCUXcMOs/J46jO/Uc/tPFvGpjXlyXbvP40RYWJawgiklD7Q==" saltValue="Y+mCi/KEB42DaYMOwYXDN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9.2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6" t="s">
        <v>89</v>
      </c>
      <c r="C8" s="56"/>
      <c r="D8" s="56"/>
      <c r="E8" s="56"/>
      <c r="F8" s="56"/>
      <c r="G8" s="1"/>
    </row>
    <row r="9" spans="1:7" x14ac:dyDescent="0.25">
      <c r="A9" s="1"/>
      <c r="B9" s="93" t="s">
        <v>22</v>
      </c>
      <c r="C9" s="93"/>
      <c r="D9" s="93"/>
      <c r="E9" s="7">
        <v>9633763.5646559279</v>
      </c>
      <c r="F9" s="53" t="s">
        <v>3</v>
      </c>
      <c r="G9" s="1"/>
    </row>
    <row r="10" spans="1:7" x14ac:dyDescent="0.25">
      <c r="A10" s="1"/>
      <c r="B10" s="95" t="s">
        <v>103</v>
      </c>
      <c r="C10" s="96"/>
      <c r="D10" s="97"/>
      <c r="E10" s="7">
        <v>0</v>
      </c>
      <c r="F10" s="53" t="s">
        <v>3</v>
      </c>
      <c r="G10" s="1"/>
    </row>
    <row r="11" spans="1:7" x14ac:dyDescent="0.25">
      <c r="A11" s="1"/>
      <c r="B11" s="94" t="s">
        <v>50</v>
      </c>
      <c r="C11" s="94"/>
      <c r="D11" s="94"/>
      <c r="E11" s="7">
        <v>327120.94850000006</v>
      </c>
      <c r="F11" s="53" t="s">
        <v>3</v>
      </c>
      <c r="G11" s="1"/>
    </row>
    <row r="12" spans="1:7" x14ac:dyDescent="0.25">
      <c r="A12" s="1"/>
      <c r="B12" s="94" t="s">
        <v>54</v>
      </c>
      <c r="C12" s="94"/>
      <c r="D12" s="94"/>
      <c r="E12" s="7">
        <v>0</v>
      </c>
      <c r="F12" s="53" t="s">
        <v>3</v>
      </c>
      <c r="G12" s="1"/>
    </row>
    <row r="13" spans="1:7" x14ac:dyDescent="0.25">
      <c r="A13" s="1"/>
      <c r="B13" s="94" t="s">
        <v>51</v>
      </c>
      <c r="C13" s="94"/>
      <c r="D13" s="94"/>
      <c r="E13" s="8">
        <v>0</v>
      </c>
      <c r="F13" s="53" t="s">
        <v>3</v>
      </c>
      <c r="G13" s="1"/>
    </row>
    <row r="14" spans="1:7" x14ac:dyDescent="0.25">
      <c r="A14" s="1"/>
      <c r="B14" s="94" t="s">
        <v>17</v>
      </c>
      <c r="C14" s="94"/>
      <c r="D14" s="94"/>
      <c r="E14" s="8">
        <f>E9*'Fane 11. Nøgletal'!C13+SUM(E11:E13)*'Fane 11. Nøgletal'!C14</f>
        <v>118611.41461885233</v>
      </c>
      <c r="F14" s="53" t="s">
        <v>3</v>
      </c>
      <c r="G14" s="1"/>
    </row>
    <row r="15" spans="1:7" x14ac:dyDescent="0.25">
      <c r="A15" s="1"/>
      <c r="B15" s="94" t="s">
        <v>44</v>
      </c>
      <c r="C15" s="94"/>
      <c r="D15" s="94"/>
      <c r="E15" s="8">
        <f>-SUM(E9:E14)*'Fane 11. Nøgletal'!C20</f>
        <v>-171351.43077217127</v>
      </c>
      <c r="F15" s="53" t="s">
        <v>3</v>
      </c>
      <c r="G15" s="1"/>
    </row>
    <row r="16" spans="1:7" x14ac:dyDescent="0.25">
      <c r="A16" s="1"/>
      <c r="B16" s="99" t="s">
        <v>19</v>
      </c>
      <c r="C16" s="99"/>
      <c r="D16" s="99"/>
      <c r="E16" s="33">
        <f>SUM(E9:E15)</f>
        <v>9908144.4970026091</v>
      </c>
      <c r="F16" s="34" t="s">
        <v>3</v>
      </c>
      <c r="G16" s="1"/>
    </row>
    <row r="17" spans="1:7" x14ac:dyDescent="0.25">
      <c r="A17" s="1"/>
      <c r="B17" s="100" t="s">
        <v>11</v>
      </c>
      <c r="C17" s="100"/>
      <c r="D17" s="100"/>
      <c r="E17" s="56"/>
      <c r="F17" s="56"/>
      <c r="G17" s="1"/>
    </row>
    <row r="18" spans="1:7" x14ac:dyDescent="0.25">
      <c r="A18" s="1"/>
      <c r="B18" s="101" t="s">
        <v>11</v>
      </c>
      <c r="C18" s="101"/>
      <c r="D18" s="101"/>
      <c r="E18" s="9">
        <v>3675283.3245799406</v>
      </c>
      <c r="F18" s="57" t="s">
        <v>3</v>
      </c>
      <c r="G18" s="1"/>
    </row>
    <row r="19" spans="1:7" ht="15.4" customHeight="1" x14ac:dyDescent="0.25">
      <c r="A19" s="1"/>
      <c r="B19" s="56" t="s">
        <v>36</v>
      </c>
      <c r="C19" s="56"/>
      <c r="D19" s="56"/>
      <c r="E19" s="56"/>
      <c r="F19" s="56"/>
      <c r="G19" s="1"/>
    </row>
    <row r="20" spans="1:7" ht="15.75" customHeight="1" x14ac:dyDescent="0.25">
      <c r="A20" s="1"/>
      <c r="B20" s="102" t="s">
        <v>33</v>
      </c>
      <c r="C20" s="103"/>
      <c r="D20" s="104"/>
      <c r="E20" s="74">
        <v>0</v>
      </c>
      <c r="F20" s="27" t="s">
        <v>3</v>
      </c>
      <c r="G20" s="1"/>
    </row>
    <row r="21" spans="1:7" x14ac:dyDescent="0.25">
      <c r="A21" s="1"/>
      <c r="B21" s="102" t="s">
        <v>34</v>
      </c>
      <c r="C21" s="103"/>
      <c r="D21" s="104"/>
      <c r="E21" s="74">
        <v>0</v>
      </c>
      <c r="F21" s="27" t="s">
        <v>3</v>
      </c>
      <c r="G21" s="1"/>
    </row>
    <row r="22" spans="1:7" x14ac:dyDescent="0.25">
      <c r="A22" s="1"/>
      <c r="B22" s="105" t="s">
        <v>37</v>
      </c>
      <c r="C22" s="106"/>
      <c r="D22" s="107"/>
      <c r="E22" s="9">
        <f>SUM(E20:E21)</f>
        <v>0</v>
      </c>
      <c r="F22" s="9" t="s">
        <v>3</v>
      </c>
      <c r="G22" s="1"/>
    </row>
    <row r="23" spans="1:7" ht="15.75" customHeight="1" x14ac:dyDescent="0.25">
      <c r="A23" s="1"/>
      <c r="B23" s="56" t="s">
        <v>62</v>
      </c>
      <c r="C23" s="56"/>
      <c r="D23" s="56"/>
      <c r="E23" s="56"/>
      <c r="F23" s="56"/>
      <c r="G23" s="1"/>
    </row>
    <row r="24" spans="1:7" x14ac:dyDescent="0.25">
      <c r="A24" s="1"/>
      <c r="B24" s="66" t="s">
        <v>27</v>
      </c>
      <c r="C24" s="28"/>
      <c r="D24" s="28"/>
      <c r="E24" s="9">
        <v>137608.02860727254</v>
      </c>
      <c r="F24" s="57" t="s">
        <v>3</v>
      </c>
      <c r="G24" s="1"/>
    </row>
    <row r="25" spans="1:7" x14ac:dyDescent="0.25">
      <c r="A25" s="1"/>
      <c r="B25" s="66" t="s">
        <v>63</v>
      </c>
      <c r="C25" s="28"/>
      <c r="D25" s="28"/>
      <c r="E25" s="9">
        <v>0</v>
      </c>
      <c r="F25" s="57" t="s">
        <v>3</v>
      </c>
      <c r="G25" s="1"/>
    </row>
    <row r="26" spans="1:7" x14ac:dyDescent="0.25">
      <c r="A26" s="1"/>
      <c r="B26" s="56" t="s">
        <v>75</v>
      </c>
      <c r="C26" s="56"/>
      <c r="D26" s="56"/>
      <c r="E26" s="56"/>
      <c r="F26" s="56"/>
      <c r="G26" s="1"/>
    </row>
    <row r="27" spans="1:7" x14ac:dyDescent="0.25">
      <c r="A27" s="1"/>
      <c r="B27" s="108" t="s">
        <v>76</v>
      </c>
      <c r="C27" s="109"/>
      <c r="D27" s="110"/>
      <c r="E27" s="9">
        <f>'Fane 6. Skattesagen'!G11</f>
        <v>0</v>
      </c>
      <c r="F27" s="57" t="s">
        <v>3</v>
      </c>
      <c r="G27" s="1"/>
    </row>
    <row r="28" spans="1:7" ht="15" customHeight="1" x14ac:dyDescent="0.25">
      <c r="A28" s="1"/>
      <c r="B28" s="35" t="s">
        <v>152</v>
      </c>
      <c r="C28" s="35"/>
      <c r="D28" s="35"/>
      <c r="E28" s="36">
        <f>E16+E18+E22+E24+E25+E27</f>
        <v>13721035.850189824</v>
      </c>
      <c r="F28" s="37" t="s">
        <v>3</v>
      </c>
      <c r="G28" s="1"/>
    </row>
    <row r="29" spans="1:7" ht="27" customHeight="1" x14ac:dyDescent="0.25">
      <c r="A29" s="1"/>
      <c r="B29" s="98" t="s">
        <v>90</v>
      </c>
      <c r="C29" s="98"/>
      <c r="D29" s="98"/>
      <c r="E29" s="98"/>
      <c r="F29" s="98"/>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a9EZA7/ZKMz9mwwkuHXCjztm0Z8TLcOhzJbr03yvDnldghHMgNZD7I53jY2Vur7UK29en7RPSUeRyOT9uo+djA==" saltValue="yjtDXnaI9iHifCIyxPIkX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43</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91</v>
      </c>
      <c r="C8" s="112"/>
      <c r="D8" s="113"/>
      <c r="E8" s="1"/>
      <c r="F8" s="1"/>
    </row>
    <row r="9" spans="1:6" ht="15" customHeight="1" x14ac:dyDescent="0.25">
      <c r="A9" s="1"/>
      <c r="B9" s="17" t="s">
        <v>25</v>
      </c>
      <c r="C9" s="57" t="s">
        <v>109</v>
      </c>
      <c r="D9" s="57"/>
      <c r="E9" s="1"/>
      <c r="F9" s="1"/>
    </row>
    <row r="10" spans="1:6" x14ac:dyDescent="0.25">
      <c r="A10" s="1"/>
      <c r="B10" s="23" t="s">
        <v>127</v>
      </c>
      <c r="C10" s="8">
        <v>3719544</v>
      </c>
      <c r="D10" s="12" t="s">
        <v>3</v>
      </c>
      <c r="E10" s="1"/>
      <c r="F10" s="1"/>
    </row>
    <row r="11" spans="1:6" x14ac:dyDescent="0.25">
      <c r="A11" s="1"/>
      <c r="B11" s="23" t="s">
        <v>128</v>
      </c>
      <c r="C11" s="8">
        <v>17380</v>
      </c>
      <c r="D11" s="12" t="s">
        <v>3</v>
      </c>
      <c r="E11" s="1"/>
      <c r="F11" s="1"/>
    </row>
    <row r="12" spans="1:6" x14ac:dyDescent="0.25">
      <c r="A12" s="1"/>
      <c r="B12" s="72" t="s">
        <v>92</v>
      </c>
      <c r="C12" s="10">
        <f>SUM(C10:C11)</f>
        <v>3736924</v>
      </c>
      <c r="D12" s="11" t="s">
        <v>3</v>
      </c>
      <c r="E12" s="1"/>
      <c r="F12" s="1"/>
    </row>
    <row r="13" spans="1:6" x14ac:dyDescent="0.25">
      <c r="A13" s="1"/>
      <c r="B13" s="72" t="s">
        <v>93</v>
      </c>
      <c r="C13" s="10">
        <f>C12*(1+'Fane 11. Nøgletal'!C15)^2</f>
        <v>4007729.0168006402</v>
      </c>
      <c r="D13" s="11" t="s">
        <v>3</v>
      </c>
      <c r="E13" s="1"/>
      <c r="F13" s="1"/>
    </row>
    <row r="14" spans="1:6" x14ac:dyDescent="0.25">
      <c r="A14" s="1"/>
      <c r="B14" s="14"/>
      <c r="C14" s="13"/>
      <c r="D14" s="13"/>
      <c r="E14" s="1"/>
      <c r="F14" s="1"/>
    </row>
    <row r="15" spans="1:6" x14ac:dyDescent="0.25">
      <c r="A15" s="1"/>
      <c r="B15" s="14"/>
      <c r="C15" s="13"/>
      <c r="D15" s="13"/>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e78oaUM30LlmaJuhHNeiwSj8Qk7Qa9qS6Bnt/79LjrylRc5Dfqb+T4qf1U9xKrIFjoHS++4YsZhq4enTUsSmJA==" saltValue="gg8Y0uVqOOUll6Wtwdq1z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156</v>
      </c>
      <c r="C3" s="92"/>
      <c r="D3" s="92"/>
      <c r="E3" s="92"/>
      <c r="F3" s="92"/>
      <c r="G3" s="1"/>
    </row>
    <row r="4" spans="1:7" ht="15" customHeight="1" x14ac:dyDescent="0.25">
      <c r="A4" s="1"/>
      <c r="B4" s="92"/>
      <c r="C4" s="92"/>
      <c r="D4" s="92"/>
      <c r="E4" s="92"/>
      <c r="F4" s="92"/>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111" t="s">
        <v>72</v>
      </c>
      <c r="C8" s="112"/>
      <c r="D8" s="112"/>
      <c r="E8" s="112"/>
      <c r="F8" s="113"/>
      <c r="G8" s="1"/>
    </row>
    <row r="9" spans="1:7" x14ac:dyDescent="0.25">
      <c r="A9" s="1"/>
      <c r="B9" s="118" t="s">
        <v>94</v>
      </c>
      <c r="C9" s="119"/>
      <c r="D9" s="120"/>
      <c r="E9" s="8">
        <v>2579943.8607269283</v>
      </c>
      <c r="F9" s="12" t="s">
        <v>3</v>
      </c>
      <c r="G9" s="1"/>
    </row>
    <row r="10" spans="1:7" x14ac:dyDescent="0.25">
      <c r="A10" s="1"/>
      <c r="B10" s="118" t="s">
        <v>129</v>
      </c>
      <c r="C10" s="119"/>
      <c r="D10" s="120"/>
      <c r="E10" s="8">
        <v>2579943.8607269283</v>
      </c>
      <c r="F10" s="12" t="s">
        <v>3</v>
      </c>
      <c r="G10" s="1"/>
    </row>
    <row r="11" spans="1:7" x14ac:dyDescent="0.25">
      <c r="A11" s="1"/>
      <c r="B11" s="72"/>
      <c r="C11" s="22"/>
      <c r="D11" s="22"/>
      <c r="E11" s="22"/>
      <c r="F11" s="73"/>
      <c r="G11" s="1"/>
    </row>
    <row r="12" spans="1:7" ht="68.25" customHeight="1" x14ac:dyDescent="0.25">
      <c r="A12" s="1"/>
      <c r="B12" s="124" t="s">
        <v>153</v>
      </c>
      <c r="C12" s="125"/>
      <c r="D12" s="125"/>
      <c r="E12" s="125"/>
      <c r="F12" s="126"/>
      <c r="G12" s="1"/>
    </row>
    <row r="13" spans="1:7" ht="27" customHeight="1" x14ac:dyDescent="0.25">
      <c r="A13" s="1"/>
      <c r="B13" s="1"/>
      <c r="C13" s="1"/>
      <c r="D13" s="1"/>
      <c r="E13" s="1"/>
      <c r="F13" s="1"/>
      <c r="G13" s="1"/>
    </row>
    <row r="14" spans="1:7" ht="28.5" customHeight="1" x14ac:dyDescent="0.25">
      <c r="A14" s="1"/>
      <c r="B14" s="111" t="s">
        <v>73</v>
      </c>
      <c r="C14" s="112"/>
      <c r="D14" s="112"/>
      <c r="E14" s="112"/>
      <c r="F14" s="113"/>
      <c r="G14" s="1"/>
    </row>
    <row r="15" spans="1:7" x14ac:dyDescent="0.25">
      <c r="A15" s="1"/>
      <c r="B15" s="118" t="s">
        <v>95</v>
      </c>
      <c r="C15" s="119"/>
      <c r="D15" s="120"/>
      <c r="E15" s="8">
        <v>0</v>
      </c>
      <c r="F15" s="12" t="s">
        <v>3</v>
      </c>
      <c r="G15" s="1"/>
    </row>
    <row r="16" spans="1:7" x14ac:dyDescent="0.25">
      <c r="A16" s="1"/>
      <c r="B16" s="118" t="s">
        <v>130</v>
      </c>
      <c r="C16" s="119"/>
      <c r="D16" s="120"/>
      <c r="E16" s="8">
        <v>0</v>
      </c>
      <c r="F16" s="12" t="s">
        <v>3</v>
      </c>
      <c r="G16" s="1"/>
    </row>
    <row r="17" spans="1:7" x14ac:dyDescent="0.25">
      <c r="A17" s="1"/>
      <c r="B17" s="72"/>
      <c r="C17" s="22"/>
      <c r="D17" s="22"/>
      <c r="E17" s="22"/>
      <c r="F17" s="73"/>
      <c r="G17" s="1"/>
    </row>
    <row r="18" spans="1:7" ht="31.5" customHeight="1" x14ac:dyDescent="0.25">
      <c r="A18" s="1"/>
      <c r="B18" s="124" t="s">
        <v>154</v>
      </c>
      <c r="C18" s="125"/>
      <c r="D18" s="125"/>
      <c r="E18" s="125"/>
      <c r="F18" s="126"/>
      <c r="G18" s="1"/>
    </row>
    <row r="19" spans="1:7" ht="28.5" customHeight="1" x14ac:dyDescent="0.25">
      <c r="A19" s="1"/>
      <c r="B19" s="1"/>
      <c r="C19" s="1"/>
      <c r="D19" s="1"/>
      <c r="E19" s="1"/>
      <c r="F19" s="1"/>
      <c r="G19" s="1"/>
    </row>
    <row r="20" spans="1:7" ht="28.5" customHeight="1" x14ac:dyDescent="0.25">
      <c r="A20" s="1"/>
      <c r="B20" s="63" t="s">
        <v>96</v>
      </c>
      <c r="C20" s="64"/>
      <c r="D20" s="64"/>
      <c r="E20" s="64"/>
      <c r="F20" s="65"/>
      <c r="G20" s="1"/>
    </row>
    <row r="21" spans="1:7" x14ac:dyDescent="0.25">
      <c r="A21" s="1"/>
      <c r="B21" s="67" t="s">
        <v>97</v>
      </c>
      <c r="C21" s="68"/>
      <c r="D21" s="69"/>
      <c r="E21" s="8">
        <v>13414569.25746103</v>
      </c>
      <c r="F21" s="12" t="s">
        <v>3</v>
      </c>
      <c r="G21" s="1"/>
    </row>
    <row r="22" spans="1:7" x14ac:dyDescent="0.25">
      <c r="A22" s="1"/>
      <c r="B22" s="67" t="s">
        <v>131</v>
      </c>
      <c r="C22" s="68"/>
      <c r="D22" s="69"/>
      <c r="E22" s="8">
        <v>10970194</v>
      </c>
      <c r="F22" s="12" t="s">
        <v>3</v>
      </c>
      <c r="G22" s="1"/>
    </row>
    <row r="23" spans="1:7" x14ac:dyDescent="0.25">
      <c r="A23" s="1"/>
      <c r="B23" s="67" t="s">
        <v>26</v>
      </c>
      <c r="C23" s="68"/>
      <c r="D23" s="69"/>
      <c r="E23" s="8">
        <v>0</v>
      </c>
      <c r="F23" s="12" t="s">
        <v>3</v>
      </c>
      <c r="G23" s="1"/>
    </row>
    <row r="24" spans="1:7" x14ac:dyDescent="0.25">
      <c r="A24" s="1"/>
      <c r="B24" s="58" t="s">
        <v>155</v>
      </c>
      <c r="C24" s="59"/>
      <c r="D24" s="60"/>
      <c r="E24" s="51">
        <f>E21-(E22-E23)</f>
        <v>2444375.25746103</v>
      </c>
      <c r="F24" s="15" t="s">
        <v>3</v>
      </c>
      <c r="G24" s="1"/>
    </row>
    <row r="25" spans="1:7" x14ac:dyDescent="0.25">
      <c r="A25" s="1"/>
      <c r="B25" s="72"/>
      <c r="C25" s="22"/>
      <c r="D25" s="22"/>
      <c r="E25" s="22"/>
      <c r="F25" s="73"/>
      <c r="G25" s="1"/>
    </row>
    <row r="26" spans="1:7" ht="33.75" customHeight="1" x14ac:dyDescent="0.25">
      <c r="A26" s="1"/>
      <c r="B26" s="1"/>
      <c r="C26" s="1"/>
      <c r="D26" s="1"/>
      <c r="E26" s="1"/>
      <c r="F26" s="1"/>
      <c r="G26" s="1"/>
    </row>
    <row r="27" spans="1:7" ht="28.5" customHeight="1" x14ac:dyDescent="0.25">
      <c r="A27" s="1"/>
      <c r="B27" s="111" t="s">
        <v>132</v>
      </c>
      <c r="C27" s="112"/>
      <c r="D27" s="112"/>
      <c r="E27" s="112"/>
      <c r="F27" s="113"/>
      <c r="G27" s="1"/>
    </row>
    <row r="28" spans="1:7" x14ac:dyDescent="0.25">
      <c r="A28" s="1"/>
      <c r="B28" s="121" t="s">
        <v>62</v>
      </c>
      <c r="C28" s="122"/>
      <c r="D28" s="123"/>
      <c r="E28" s="8">
        <f>IF(AND(E9&gt;0,E24&gt;0),0,IF(AND(E9&lt;0,E24&lt;0),E15+E16+E24,IF(AND(E9&lt;0,E24&gt;0),E15+E16,IF(AND(E9&gt;0,E24&lt;0,E10=0),E24,IF(AND(E9&gt;0,E24&lt;0,ABS(E10)&gt;ABS(E24)),0,IF(AND(E9&gt;0,E24&lt;0,ABS(E10)&lt;ABS(E24)),(E10-ABS(E24)),"fejl"))))))</f>
        <v>0</v>
      </c>
      <c r="F28" s="12" t="s">
        <v>3</v>
      </c>
      <c r="G28" s="1"/>
    </row>
    <row r="29" spans="1:7" x14ac:dyDescent="0.25">
      <c r="A29" s="1"/>
      <c r="B29" s="121" t="s">
        <v>45</v>
      </c>
      <c r="C29" s="122"/>
      <c r="D29" s="123"/>
      <c r="E29" s="8">
        <v>2</v>
      </c>
      <c r="F29" s="12" t="s">
        <v>18</v>
      </c>
      <c r="G29" s="1"/>
    </row>
    <row r="30" spans="1:7" x14ac:dyDescent="0.25">
      <c r="A30" s="1"/>
      <c r="B30" s="114" t="s">
        <v>74</v>
      </c>
      <c r="C30" s="114"/>
      <c r="D30" s="114"/>
      <c r="E30" s="9">
        <f>E28/E29</f>
        <v>0</v>
      </c>
      <c r="F30" s="15" t="s">
        <v>3</v>
      </c>
      <c r="G30" s="1"/>
    </row>
    <row r="31" spans="1:7" x14ac:dyDescent="0.25">
      <c r="A31" s="1"/>
      <c r="B31" s="115"/>
      <c r="C31" s="116"/>
      <c r="D31" s="116"/>
      <c r="E31" s="116"/>
      <c r="F31" s="11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B36" s="30"/>
      <c r="C36" s="30"/>
      <c r="D36" s="30"/>
      <c r="E36" s="30"/>
      <c r="F36" s="30"/>
    </row>
    <row r="37" spans="1:7" x14ac:dyDescent="0.25">
      <c r="A37" s="30"/>
      <c r="B37" s="30"/>
      <c r="C37" s="30"/>
      <c r="D37" s="30"/>
      <c r="E37" s="30"/>
      <c r="F37" s="30"/>
      <c r="G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sheetData>
  <sheetProtection algorithmName="SHA-512" hashValue="OqXCVQGLrIlGoGDeEeXNeN9X7QyTrOQ2NwwHXmK67eTU/HHQegOyiJ9YumDWY60+1cJ5ewRJvKcPuVZFwPsVEQ==" saltValue="7vBzNNkJdFQujJK72x6I+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126</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123</v>
      </c>
      <c r="C8" s="112"/>
      <c r="D8" s="112"/>
      <c r="E8" s="112"/>
      <c r="F8" s="112"/>
      <c r="G8" s="112"/>
      <c r="H8" s="113"/>
      <c r="I8" s="1"/>
    </row>
    <row r="9" spans="1:9" ht="15" customHeight="1" x14ac:dyDescent="0.25">
      <c r="A9" s="1"/>
      <c r="B9" s="108" t="s">
        <v>124</v>
      </c>
      <c r="C9" s="109"/>
      <c r="D9" s="109"/>
      <c r="E9" s="109"/>
      <c r="F9" s="109"/>
      <c r="G9" s="109"/>
      <c r="H9" s="110"/>
      <c r="I9" s="1"/>
    </row>
    <row r="10" spans="1:9" x14ac:dyDescent="0.25">
      <c r="A10" s="1"/>
      <c r="B10" s="95" t="s">
        <v>136</v>
      </c>
      <c r="C10" s="96"/>
      <c r="D10" s="96"/>
      <c r="E10" s="96"/>
      <c r="F10" s="97"/>
      <c r="G10" s="50">
        <v>0</v>
      </c>
      <c r="H10" s="8" t="s">
        <v>3</v>
      </c>
      <c r="I10" s="1"/>
    </row>
    <row r="11" spans="1:9" x14ac:dyDescent="0.25">
      <c r="A11" s="1"/>
      <c r="B11" s="95" t="s">
        <v>137</v>
      </c>
      <c r="C11" s="96"/>
      <c r="D11" s="96"/>
      <c r="E11" s="96"/>
      <c r="F11" s="97"/>
      <c r="G11" s="50">
        <v>0</v>
      </c>
      <c r="H11" s="8" t="s">
        <v>3</v>
      </c>
      <c r="I11" s="1"/>
    </row>
    <row r="12" spans="1:9" x14ac:dyDescent="0.25">
      <c r="A12" s="1"/>
      <c r="B12" s="95" t="s">
        <v>138</v>
      </c>
      <c r="C12" s="96"/>
      <c r="D12" s="96"/>
      <c r="E12" s="96"/>
      <c r="F12" s="97"/>
      <c r="G12" s="8">
        <v>0</v>
      </c>
      <c r="H12" s="8" t="s">
        <v>3</v>
      </c>
      <c r="I12" s="1"/>
    </row>
    <row r="13" spans="1:9" x14ac:dyDescent="0.25">
      <c r="A13" s="1"/>
      <c r="B13" s="95" t="s">
        <v>139</v>
      </c>
      <c r="C13" s="96"/>
      <c r="D13" s="96"/>
      <c r="E13" s="96"/>
      <c r="F13" s="97"/>
      <c r="G13" s="8">
        <v>0</v>
      </c>
      <c r="H13" s="8" t="s">
        <v>3</v>
      </c>
      <c r="I13" s="1"/>
    </row>
    <row r="14" spans="1:9" x14ac:dyDescent="0.25">
      <c r="A14" s="1"/>
      <c r="B14" s="95" t="s">
        <v>140</v>
      </c>
      <c r="C14" s="96"/>
      <c r="D14" s="96"/>
      <c r="E14" s="96"/>
      <c r="F14" s="97"/>
      <c r="G14" s="8">
        <v>0</v>
      </c>
      <c r="H14" s="8" t="s">
        <v>3</v>
      </c>
      <c r="I14" s="1"/>
    </row>
    <row r="15" spans="1:9" x14ac:dyDescent="0.25">
      <c r="A15" s="1"/>
      <c r="B15" s="95" t="s">
        <v>141</v>
      </c>
      <c r="C15" s="96"/>
      <c r="D15" s="96"/>
      <c r="E15" s="96"/>
      <c r="F15" s="97"/>
      <c r="G15" s="8">
        <v>0</v>
      </c>
      <c r="H15" s="8" t="s">
        <v>3</v>
      </c>
      <c r="I15" s="1"/>
    </row>
    <row r="16" spans="1:9" x14ac:dyDescent="0.25">
      <c r="A16" s="1"/>
      <c r="B16" s="95" t="s">
        <v>142</v>
      </c>
      <c r="C16" s="96"/>
      <c r="D16" s="96"/>
      <c r="E16" s="96"/>
      <c r="F16" s="97"/>
      <c r="G16" s="8">
        <v>0</v>
      </c>
      <c r="H16" s="8" t="s">
        <v>3</v>
      </c>
      <c r="I16" s="1"/>
    </row>
    <row r="17" spans="1:9" x14ac:dyDescent="0.25">
      <c r="A17" s="1"/>
      <c r="B17" s="95" t="s">
        <v>143</v>
      </c>
      <c r="C17" s="96"/>
      <c r="D17" s="96"/>
      <c r="E17" s="96"/>
      <c r="F17" s="97"/>
      <c r="G17" s="8">
        <v>0</v>
      </c>
      <c r="H17" s="8" t="s">
        <v>3</v>
      </c>
      <c r="I17" s="1"/>
    </row>
    <row r="18" spans="1:9" x14ac:dyDescent="0.25">
      <c r="A18" s="1"/>
      <c r="B18" s="111" t="s">
        <v>125</v>
      </c>
      <c r="C18" s="112"/>
      <c r="D18" s="112"/>
      <c r="E18" s="112"/>
      <c r="F18" s="11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7+zBkur5a+lmX7QcwysUqqZ/CBcGLuwY9Eg0nfchb3EX5b8LVlfnWxsVelkkL7Kl2KjGK49IlipIG4gBMdUsqQ==" saltValue="6L9EMi4xAR3OVNt2ZocJ9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2022-08-29T10:36:56Z</dcterms:modified>
</cp:coreProperties>
</file>