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Drikkevand\NK-Vand AS (V137)\ØR2025\"/>
    </mc:Choice>
  </mc:AlternateContent>
  <xr:revisionPtr revIDLastSave="0" documentId="13_ncr:1_{BAFD9E2E-3FE5-43BD-92C9-615F61E1A89F}"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ØR2024'!$C$36</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ØR2024'!$C$36</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16" i="41" l="1"/>
  <c r="C24" i="41" l="1"/>
  <c r="C10" i="36" l="1"/>
  <c r="C10" i="30"/>
  <c r="C9" i="2" l="1"/>
  <c r="F10" i="11" l="1"/>
  <c r="F11" i="11" s="1"/>
  <c r="C11" i="29"/>
  <c r="C12" i="29" l="1"/>
  <c r="E11" i="29" l="1"/>
  <c r="C20" i="43" l="1"/>
  <c r="E12" i="29" l="1"/>
  <c r="C15" i="41" l="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<sst xmlns="http://schemas.openxmlformats.org/spreadsheetml/2006/main" count="452" uniqueCount="206">
  <si>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</si>
  <si>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</si>
  <si>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</si>
  <si>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</si>
  <si>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</si>
  <si>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</si>
  <si>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</si>
  <si>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</si>
  <si>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</si>
  <si>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</si>
  <si>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</si>
  <si>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</si>
  <si>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</si>
  <si>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</si>
  <si>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</si>
  <si>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</si>
  <si>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</si>
  <si>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</si>
  <si>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</si>
  <si>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</si>
  <si>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</si>
  <si>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</si>
  <si>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</si>
  <si>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</si>
  <si>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</si>
  <si>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</si>
  <si>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</si>
  <si>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</si>
  <si>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</si>
  <si>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</si>
  <si>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</si>
  <si>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</si>
  <si>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</si>
  <si>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</si>
  <si>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</si>
  <si>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</si>
  <si>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</si>
  <si>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</si>
  <si>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</si>
  <si>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</si>
  <si>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</si>
  <si>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</si>
  <si>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</si>
  <si>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</si>
  <si>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</si>
  <si>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</si>
  <si>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</si>
  <si>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</si>
  <si>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</si>
  <si>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</si>
  <si>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</si>
  <si>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</si>
  <si>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</si>
  <si>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</si>
  <si>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</si>
  <si>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</si>
  <si>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</si>
  <si>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</si>
  <si>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</si>
  <si>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</si>
  <si>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</si>
  <si>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</si>
  <si>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</si>
  <si>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</si>
  <si>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</si>
  <si>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</si>
  <si>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</si>
  <si>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</si>
  <si>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</si>
  <si>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</si>
  <si>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</si>
  <si>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</si>
  <si>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</si>
  <si>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</si>
  <si>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</si>
  <si>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</si>
  <si>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</si>
  <si>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</si>
  <si>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</si>
  <si>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</si>
  <si>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</si>
  <si>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</si>
  <si>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</si>
  <si>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</si>
  <si>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</si>
  <si>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</si>
  <si>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</si>
  <si>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</si>
  <si>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</si>
  <si>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</si>
  <si>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</si>
  <si>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</si>
  <si>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</si>
  <si>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</si>
  <si>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</si>
  <si>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</si>
  <si>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</si>
  <si>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</si>
  <si>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</si>
  <si>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</si>
  <si>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</si>
  <si>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</si>
  <si>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</si>
  <si>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</si>
  <si>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</si>
  <si>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</si>
  <si>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</si>
  <si>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</si>
  <si>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</si>
  <si>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</si>
  <si>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</si>
  <si>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</si>
  <si>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</si>
  <si>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</si>
  <si>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</si>
  <si>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</si>
  <si>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</si>
  <si>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</si>
  <si>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</si>
  <si>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</si>
  <si>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</si>
  <si>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</si>
  <si>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</si>
  <si>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</si>
  <si>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</si>
  <si>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</si>
  <si>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</si>
  <si>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</si>
  <si>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</si>
  <si>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</si>
  <si>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</si>
  <si>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</si>
  <si>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</si>
  <si>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</si>
  <si>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</si>
  <si>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</si>
  <si>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</si>
  <si>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</si>
  <si>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</si>
  <si>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</si>
  <si>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</si>
  <si>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</si>
  <si>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</si>
  <si>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</si>
  <si>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</si>
  <si>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</si>
  <si>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</si>
  <si>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</si>
  <si>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</si>
  <si>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</si>
  <si>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</si>
  <si>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</si>
  <si>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</si>
  <si>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</si>
  <si>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</si>
  <si>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</si>
  <si>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</si>
  <si>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</si>
  <si>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</si>
  <si>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</si>
  <si>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</si>
  <si>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</si>
  <si>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</si>
  <si>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</si>
  <si>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</si>
  <si>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</si>
  <si>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</si>
  <si>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</si>
  <si>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</si>
  <si>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</si>
  <si>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</si>
  <si>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</si>
  <si>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</si>
  <si>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</si>
  <si>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</si>
  <si>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</si>
  <si>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</si>
  <si>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</si>
  <si>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</si>
  <si>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</si>
  <si>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</si>
  <si>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</si>
  <si>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</si>
  <si>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</si>
  <si>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</si>
  <si>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</si>
  <si>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</si>
  <si>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</si>
  <si>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</si>
  <si>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</si>
  <si>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</si>
  <si>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</si>
  <si>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</si>
  <si>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</si>
  <si>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</si>
  <si>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</si>
  <si>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</si>
  <si>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</si>
  <si>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</si>
  <si>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</si>
  <si>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</si>
  <si>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</si>
  <si>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Erstatninger</t>
  </si>
  <si>
    <t>Sektionering og øget overvågning af net</t>
  </si>
  <si>
    <t>Byggemodninger og nye stik</t>
  </si>
  <si>
    <t>Nedlæggelse af pejleboring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</si>
</sst>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1" fontId="8" fillId="0"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1"/>
    </row>
    <row r="7" spans="1:7" ht="15" customHeight="1" x14ac:dyDescent="0.25">
      <c r="A7" s="1"/>
      <c r="B7" s="3"/>
      <c r="C7" s="79"/>
      <c r="D7" s="79"/>
      <c r="E7" s="79"/>
      <c r="F7" s="79"/>
      <c r="G7" s="1"/>
    </row>
    <row r="8" spans="1:7" ht="15.75" x14ac:dyDescent="0.25">
      <c r="A8" s="1"/>
      <c r="B8" s="4"/>
      <c r="C8" s="84" t="s">
        <v>198</v>
      </c>
      <c r="D8" s="84"/>
      <c r="E8" s="84"/>
      <c r="F8" s="84"/>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3" t="s">
        <v>5</v>
      </c>
      <c r="D11" s="83"/>
      <c r="E11" s="83"/>
      <c r="F11" s="83"/>
      <c r="G11" s="1"/>
    </row>
    <row r="12" spans="1:7" x14ac:dyDescent="0.25">
      <c r="A12" s="1"/>
      <c r="B12" s="1"/>
      <c r="C12" s="1"/>
      <c r="D12" s="1"/>
      <c r="E12" s="1"/>
      <c r="F12" s="1"/>
      <c r="G12" s="1"/>
    </row>
    <row r="13" spans="1:7" x14ac:dyDescent="0.25">
      <c r="A13" s="1"/>
      <c r="B13" s="6" t="s">
        <v>6</v>
      </c>
      <c r="C13" s="76" t="s">
        <v>124</v>
      </c>
      <c r="D13" s="77"/>
      <c r="E13" s="77"/>
      <c r="F13" s="78"/>
      <c r="G13" s="1"/>
    </row>
    <row r="14" spans="1:7" x14ac:dyDescent="0.25">
      <c r="A14" s="1"/>
      <c r="B14" s="6" t="s">
        <v>14</v>
      </c>
      <c r="C14" s="76" t="s">
        <v>159</v>
      </c>
      <c r="D14" s="77"/>
      <c r="E14" s="77"/>
      <c r="F14" s="78"/>
      <c r="G14" s="1"/>
    </row>
    <row r="15" spans="1:7" x14ac:dyDescent="0.25">
      <c r="A15" s="1"/>
      <c r="B15" s="6" t="s">
        <v>29</v>
      </c>
      <c r="C15" s="76" t="s">
        <v>107</v>
      </c>
      <c r="D15" s="77"/>
      <c r="E15" s="77"/>
      <c r="F15" s="78"/>
      <c r="G15" s="1"/>
    </row>
    <row r="16" spans="1:7" x14ac:dyDescent="0.25">
      <c r="A16" s="1"/>
      <c r="B16" s="6" t="s">
        <v>30</v>
      </c>
      <c r="C16" s="76" t="s">
        <v>125</v>
      </c>
      <c r="D16" s="77"/>
      <c r="E16" s="77"/>
      <c r="F16" s="78"/>
      <c r="G16" s="1"/>
    </row>
    <row r="17" spans="1:7" x14ac:dyDescent="0.25">
      <c r="A17" s="1"/>
      <c r="B17" s="6" t="s">
        <v>57</v>
      </c>
      <c r="C17" s="76" t="s">
        <v>126</v>
      </c>
      <c r="D17" s="77"/>
      <c r="E17" s="77"/>
      <c r="F17" s="78"/>
      <c r="G17" s="1"/>
    </row>
    <row r="18" spans="1:7" x14ac:dyDescent="0.25">
      <c r="A18" s="1"/>
      <c r="B18" s="6" t="s">
        <v>49</v>
      </c>
      <c r="C18" s="85" t="s">
        <v>42</v>
      </c>
      <c r="D18" s="86"/>
      <c r="E18" s="86"/>
      <c r="F18" s="87"/>
      <c r="G18" s="1"/>
    </row>
    <row r="19" spans="1:7" x14ac:dyDescent="0.25">
      <c r="A19" s="1"/>
      <c r="B19" s="6" t="s">
        <v>50</v>
      </c>
      <c r="C19" s="85" t="s">
        <v>43</v>
      </c>
      <c r="D19" s="86"/>
      <c r="E19" s="86"/>
      <c r="F19" s="87"/>
      <c r="G19" s="1"/>
    </row>
    <row r="20" spans="1:7" x14ac:dyDescent="0.25">
      <c r="A20" s="1"/>
      <c r="B20" s="6" t="s">
        <v>7</v>
      </c>
      <c r="C20" s="85" t="s">
        <v>9</v>
      </c>
      <c r="D20" s="86"/>
      <c r="E20" s="86"/>
      <c r="F20" s="87"/>
      <c r="G20" s="1"/>
    </row>
    <row r="21" spans="1:7" x14ac:dyDescent="0.25">
      <c r="A21" s="1"/>
      <c r="B21" s="6" t="s">
        <v>51</v>
      </c>
      <c r="C21" s="91" t="s">
        <v>11</v>
      </c>
      <c r="D21" s="92"/>
      <c r="E21" s="92"/>
      <c r="F21" s="93"/>
      <c r="G21" s="1"/>
    </row>
    <row r="22" spans="1:7" x14ac:dyDescent="0.25">
      <c r="A22" s="1"/>
      <c r="B22" s="6" t="s">
        <v>37</v>
      </c>
      <c r="C22" s="80" t="s">
        <v>127</v>
      </c>
      <c r="D22" s="81"/>
      <c r="E22" s="81"/>
      <c r="F22" s="82"/>
      <c r="G22" s="1"/>
    </row>
    <row r="23" spans="1:7" x14ac:dyDescent="0.25">
      <c r="A23" s="1"/>
      <c r="B23" s="6" t="s">
        <v>8</v>
      </c>
      <c r="C23" s="80" t="s">
        <v>89</v>
      </c>
      <c r="D23" s="81"/>
      <c r="E23" s="81"/>
      <c r="F23" s="82"/>
      <c r="G23" s="1"/>
    </row>
    <row r="24" spans="1:7" x14ac:dyDescent="0.25">
      <c r="A24" s="1"/>
      <c r="B24" s="6" t="s">
        <v>85</v>
      </c>
      <c r="C24" s="80" t="s">
        <v>78</v>
      </c>
      <c r="D24" s="81"/>
      <c r="E24" s="81"/>
      <c r="F24" s="82"/>
      <c r="G24" s="1"/>
    </row>
    <row r="25" spans="1:7" x14ac:dyDescent="0.25">
      <c r="A25" s="1"/>
      <c r="B25" s="6" t="s">
        <v>86</v>
      </c>
      <c r="C25" s="80" t="s">
        <v>38</v>
      </c>
      <c r="D25" s="81"/>
      <c r="E25" s="81"/>
      <c r="F25" s="82"/>
      <c r="G25" s="1"/>
    </row>
    <row r="26" spans="1:7" x14ac:dyDescent="0.25">
      <c r="A26" s="1"/>
      <c r="B26" s="6" t="s">
        <v>87</v>
      </c>
      <c r="C26" s="80" t="s">
        <v>39</v>
      </c>
      <c r="D26" s="81"/>
      <c r="E26" s="81"/>
      <c r="F26" s="82"/>
      <c r="G26" s="1"/>
    </row>
    <row r="27" spans="1:7" x14ac:dyDescent="0.25">
      <c r="A27" s="1"/>
      <c r="B27" s="6" t="s">
        <v>52</v>
      </c>
      <c r="C27" s="80" t="s">
        <v>58</v>
      </c>
      <c r="D27" s="81"/>
      <c r="E27" s="81"/>
      <c r="F27" s="82"/>
      <c r="G27" s="1"/>
    </row>
    <row r="28" spans="1:7" x14ac:dyDescent="0.25">
      <c r="A28" s="1"/>
      <c r="B28" s="6" t="s">
        <v>46</v>
      </c>
      <c r="C28" s="80" t="s">
        <v>31</v>
      </c>
      <c r="D28" s="81"/>
      <c r="E28" s="81"/>
      <c r="F28" s="82"/>
      <c r="G28" s="1"/>
    </row>
    <row r="29" spans="1:7" x14ac:dyDescent="0.25">
      <c r="A29" s="1"/>
      <c r="B29" s="6" t="s">
        <v>88</v>
      </c>
      <c r="C29" s="88" t="s">
        <v>47</v>
      </c>
      <c r="D29" s="89"/>
      <c r="E29" s="89"/>
      <c r="F29" s="9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QTU77BcyUFF1VBbK0Nfa6lPV3/3bpL3/X+d70FnIz+qFzFmeZNpETxlFd8dh8sXn+HVshlRglVftmfEb4TLX4g==" saltValue="lebxg8bflM1nxzuXuVGHBA=="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1" t="s">
        <v>27</v>
      </c>
      <c r="C9" s="45" t="s">
        <v>145</v>
      </c>
      <c r="D9" s="11"/>
      <c r="E9" s="1"/>
    </row>
    <row r="10" spans="1:5" ht="15" customHeight="1" x14ac:dyDescent="0.25">
      <c r="A10" s="1"/>
      <c r="B10" s="64" t="s">
        <v>199</v>
      </c>
      <c r="C10" s="65">
        <v>13042881</v>
      </c>
      <c r="D10" s="14" t="s">
        <v>3</v>
      </c>
      <c r="E10" s="1"/>
    </row>
    <row r="11" spans="1:5" x14ac:dyDescent="0.25">
      <c r="A11" s="1"/>
      <c r="B11" s="64" t="s">
        <v>200</v>
      </c>
      <c r="C11" s="65">
        <v>85827</v>
      </c>
      <c r="D11" s="14" t="s">
        <v>3</v>
      </c>
      <c r="E11" s="1"/>
    </row>
    <row r="12" spans="1:5" x14ac:dyDescent="0.25">
      <c r="A12" s="1"/>
      <c r="B12" s="64" t="s">
        <v>201</v>
      </c>
      <c r="C12" s="65">
        <v>53810</v>
      </c>
      <c r="D12" s="14" t="s">
        <v>3</v>
      </c>
      <c r="E12" s="1"/>
    </row>
    <row r="13" spans="1:5" x14ac:dyDescent="0.25">
      <c r="A13" s="1"/>
      <c r="B13" s="64" t="s">
        <v>202</v>
      </c>
      <c r="C13" s="65">
        <v>10585</v>
      </c>
      <c r="D13" s="14" t="s">
        <v>3</v>
      </c>
      <c r="E13" s="1"/>
    </row>
    <row r="14" spans="1:5" x14ac:dyDescent="0.25">
      <c r="A14" s="1"/>
      <c r="B14" s="64"/>
      <c r="C14" s="65"/>
      <c r="D14" s="14" t="s">
        <v>3</v>
      </c>
      <c r="E14" s="1"/>
    </row>
    <row r="15" spans="1:5" x14ac:dyDescent="0.25">
      <c r="A15" s="1"/>
      <c r="B15" s="64"/>
      <c r="C15" s="65"/>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13193103</v>
      </c>
      <c r="D19" s="13" t="s">
        <v>3</v>
      </c>
      <c r="E19" s="1"/>
    </row>
    <row r="20" spans="1:5" x14ac:dyDescent="0.25">
      <c r="A20" s="1"/>
      <c r="B20" s="52" t="s">
        <v>144</v>
      </c>
      <c r="C20" s="12">
        <f>C19*(1+'Fane 13. Nøgletal'!C11)^2</f>
        <v>15000501.24872607</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FWeGORSb3t5UAanIxh9oB3yNs5jzo5eMJPFNsfkXCjUUIqPD9IoKYafVULowT+ge51e6iQJgnHk+qfU7D8O+rw==" saltValue="SNPG0p3wedadWM5tGPO66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172</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1"/>
      <c r="D7" s="1"/>
      <c r="E7" s="1"/>
    </row>
    <row r="8" spans="1:5" x14ac:dyDescent="0.25">
      <c r="A8" s="1"/>
      <c r="B8" s="98" t="s">
        <v>175</v>
      </c>
      <c r="C8" s="99"/>
      <c r="D8" s="100"/>
      <c r="E8" s="1"/>
    </row>
    <row r="9" spans="1:5" x14ac:dyDescent="0.25">
      <c r="A9" s="1"/>
      <c r="B9" s="56" t="s">
        <v>176</v>
      </c>
      <c r="C9" s="9">
        <v>-1656967.4319874495</v>
      </c>
      <c r="D9" s="39" t="s">
        <v>3</v>
      </c>
      <c r="E9" s="1"/>
    </row>
    <row r="10" spans="1:5" x14ac:dyDescent="0.25">
      <c r="A10" s="1"/>
      <c r="B10" s="56" t="s">
        <v>174</v>
      </c>
      <c r="C10" s="9">
        <v>544021.97968821228</v>
      </c>
      <c r="D10" s="14" t="s">
        <v>3</v>
      </c>
      <c r="E10" s="1"/>
    </row>
    <row r="11" spans="1:5" x14ac:dyDescent="0.25">
      <c r="A11" s="1"/>
      <c r="B11" s="52"/>
      <c r="C11" s="53"/>
      <c r="D11" s="19"/>
      <c r="E11" s="1"/>
    </row>
    <row r="12" spans="1:5" ht="53.85" customHeight="1" x14ac:dyDescent="0.25">
      <c r="A12" s="1"/>
      <c r="B12" s="107" t="s">
        <v>173</v>
      </c>
      <c r="C12" s="108"/>
      <c r="D12" s="109"/>
      <c r="E12" s="1"/>
    </row>
    <row r="13" spans="1:5" x14ac:dyDescent="0.25">
      <c r="A13" s="1"/>
      <c r="B13" s="1"/>
      <c r="C13" s="1"/>
      <c r="D13" s="1"/>
      <c r="E13" s="1"/>
    </row>
    <row r="14" spans="1:5" x14ac:dyDescent="0.25">
      <c r="A14" s="1"/>
      <c r="B14" s="69" t="s">
        <v>177</v>
      </c>
      <c r="C14" s="70"/>
      <c r="D14" s="71"/>
      <c r="E14" s="1"/>
    </row>
    <row r="15" spans="1:5" x14ac:dyDescent="0.25">
      <c r="A15" s="1"/>
      <c r="B15" s="56" t="s">
        <v>178</v>
      </c>
      <c r="C15" s="9">
        <f>IF(C10&lt;0,C10,0)</f>
        <v>0</v>
      </c>
      <c r="D15" s="14" t="s">
        <v>3</v>
      </c>
      <c r="E15" s="1"/>
    </row>
    <row r="16" spans="1:5" x14ac:dyDescent="0.25">
      <c r="A16" s="1"/>
      <c r="B16" s="56" t="s">
        <v>185</v>
      </c>
      <c r="C16" s="9">
        <f>IF(SUM(C9)&gt;0,SUM(C9),0)</f>
        <v>0</v>
      </c>
      <c r="D16" s="14" t="s">
        <v>3</v>
      </c>
      <c r="E16" s="1"/>
    </row>
    <row r="17" spans="1:5" ht="26.25" x14ac:dyDescent="0.25">
      <c r="A17" s="1"/>
      <c r="B17" s="72" t="s">
        <v>179</v>
      </c>
      <c r="C17" s="62">
        <f>IF(SUM(C15:C16)&gt;0,0,SUM(C15:C16))</f>
        <v>0</v>
      </c>
      <c r="D17" s="17" t="s">
        <v>3</v>
      </c>
      <c r="E17" s="1"/>
    </row>
    <row r="18" spans="1:5" x14ac:dyDescent="0.25">
      <c r="A18" s="1"/>
      <c r="B18" s="52"/>
      <c r="C18" s="53"/>
      <c r="D18" s="19"/>
      <c r="E18" s="1"/>
    </row>
    <row r="19" spans="1:5" x14ac:dyDescent="0.25">
      <c r="A19" s="1"/>
      <c r="B19" s="1"/>
      <c r="C19" s="1"/>
      <c r="D19" s="1"/>
      <c r="E19" s="1"/>
    </row>
    <row r="20" spans="1:5" x14ac:dyDescent="0.25">
      <c r="A20" s="1"/>
      <c r="B20" s="69" t="s">
        <v>180</v>
      </c>
      <c r="C20" s="70"/>
      <c r="D20" s="71"/>
      <c r="E20" s="1"/>
    </row>
    <row r="21" spans="1:5" x14ac:dyDescent="0.25">
      <c r="A21" s="1"/>
      <c r="B21" s="56" t="s">
        <v>181</v>
      </c>
      <c r="C21" s="9">
        <v>43805080.413191631</v>
      </c>
      <c r="D21" s="14" t="s">
        <v>3</v>
      </c>
      <c r="E21" s="1"/>
    </row>
    <row r="22" spans="1:5" x14ac:dyDescent="0.25">
      <c r="A22" s="1"/>
      <c r="B22" s="56" t="s">
        <v>182</v>
      </c>
      <c r="C22" s="9">
        <v>41704004</v>
      </c>
      <c r="D22" s="14" t="s">
        <v>3</v>
      </c>
      <c r="E22" s="1"/>
    </row>
    <row r="23" spans="1:5" x14ac:dyDescent="0.25">
      <c r="A23" s="1"/>
      <c r="B23" s="56" t="s">
        <v>28</v>
      </c>
      <c r="C23" s="9">
        <v>0</v>
      </c>
      <c r="D23" s="14" t="s">
        <v>3</v>
      </c>
      <c r="E23" s="1"/>
    </row>
    <row r="24" spans="1:5" x14ac:dyDescent="0.25">
      <c r="A24" s="1"/>
      <c r="B24" s="74" t="s">
        <v>183</v>
      </c>
      <c r="C24" s="46">
        <f>C21-C22-C23</f>
        <v>2101076.4131916314</v>
      </c>
      <c r="D24" s="17" t="s">
        <v>3</v>
      </c>
      <c r="E24" s="1"/>
    </row>
    <row r="25" spans="1:5" x14ac:dyDescent="0.25">
      <c r="A25" s="1"/>
      <c r="B25" s="52"/>
      <c r="C25" s="53"/>
      <c r="D25" s="19"/>
      <c r="E25" s="1"/>
    </row>
    <row r="26" spans="1:5" x14ac:dyDescent="0.25">
      <c r="A26" s="1"/>
      <c r="B26" s="1"/>
      <c r="C26" s="1"/>
      <c r="D26" s="1"/>
      <c r="E26" s="1"/>
    </row>
    <row r="27" spans="1:5" x14ac:dyDescent="0.25">
      <c r="A27" s="1"/>
      <c r="B27" s="98" t="s">
        <v>184</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0</v>
      </c>
      <c r="D28" s="14" t="s">
        <v>3</v>
      </c>
      <c r="E28" s="1"/>
    </row>
    <row r="29" spans="1:5" x14ac:dyDescent="0.25">
      <c r="A29" s="1"/>
      <c r="B29" s="57" t="s">
        <v>48</v>
      </c>
      <c r="C29" s="9">
        <v>2</v>
      </c>
      <c r="D29" s="14" t="s">
        <v>18</v>
      </c>
      <c r="E29" s="1"/>
    </row>
    <row r="30" spans="1:5" x14ac:dyDescent="0.25">
      <c r="A30" s="1"/>
      <c r="B30" s="58" t="s">
        <v>64</v>
      </c>
      <c r="C30" s="10">
        <f>C28/C29</f>
        <v>0</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QKCZQug/b/QBYIJ+tF5s9pGbETKsUMpJNu/D0sOWxbSyPTGQtX23cb3u7YlgU13ZrmDFet3HewXFWw2AjgqP4w==" saltValue="kuwrbMgz3gvqa2SSZbP85A=="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6" t="s">
        <v>96</v>
      </c>
      <c r="C3" s="96"/>
      <c r="D3" s="96"/>
      <c r="E3" s="1"/>
    </row>
    <row r="4" spans="1:5" ht="15" customHeight="1" x14ac:dyDescent="0.25">
      <c r="A4" s="1"/>
      <c r="B4" s="96"/>
      <c r="C4" s="96"/>
      <c r="D4" s="96"/>
      <c r="E4" s="1"/>
    </row>
    <row r="5" spans="1:5" x14ac:dyDescent="0.25">
      <c r="A5" s="1"/>
      <c r="B5" s="96"/>
      <c r="C5" s="96"/>
      <c r="D5" s="96"/>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v>-1630339</v>
      </c>
      <c r="D10" s="9" t="s">
        <v>3</v>
      </c>
      <c r="E10" s="1"/>
    </row>
    <row r="11" spans="1:5" x14ac:dyDescent="0.25">
      <c r="A11" s="1"/>
      <c r="B11" s="59" t="s">
        <v>99</v>
      </c>
      <c r="C11" s="41">
        <v>0</v>
      </c>
      <c r="D11" s="9" t="s">
        <v>3</v>
      </c>
      <c r="E11" s="1"/>
    </row>
    <row r="12" spans="1:5" x14ac:dyDescent="0.25">
      <c r="A12" s="1"/>
      <c r="B12" s="59" t="s">
        <v>100</v>
      </c>
      <c r="C12" s="9">
        <v>0</v>
      </c>
      <c r="D12" s="9" t="s">
        <v>3</v>
      </c>
      <c r="E12" s="1"/>
    </row>
    <row r="13" spans="1:5" x14ac:dyDescent="0.25">
      <c r="A13" s="1"/>
      <c r="B13" s="59" t="s">
        <v>101</v>
      </c>
      <c r="C13" s="9">
        <v>0</v>
      </c>
      <c r="D13" s="9" t="s">
        <v>3</v>
      </c>
      <c r="E13" s="1"/>
    </row>
    <row r="14" spans="1:5" x14ac:dyDescent="0.25">
      <c r="A14" s="1"/>
      <c r="B14" s="59" t="s">
        <v>102</v>
      </c>
      <c r="C14" s="9">
        <v>0</v>
      </c>
      <c r="D14" s="9" t="s">
        <v>3</v>
      </c>
      <c r="E14" s="1"/>
    </row>
    <row r="15" spans="1:5" x14ac:dyDescent="0.25">
      <c r="A15" s="1"/>
      <c r="B15" s="59" t="s">
        <v>103</v>
      </c>
      <c r="C15" s="9">
        <v>0</v>
      </c>
      <c r="D15" s="9" t="s">
        <v>3</v>
      </c>
      <c r="E15" s="1"/>
    </row>
    <row r="16" spans="1:5" x14ac:dyDescent="0.25">
      <c r="A16" s="1"/>
      <c r="B16" s="59" t="s">
        <v>104</v>
      </c>
      <c r="C16" s="9">
        <v>0</v>
      </c>
      <c r="D16" s="9" t="s">
        <v>3</v>
      </c>
      <c r="E16" s="1"/>
    </row>
    <row r="17" spans="1:5" x14ac:dyDescent="0.25">
      <c r="A17" s="1"/>
      <c r="B17" s="59" t="s">
        <v>105</v>
      </c>
      <c r="C17" s="9">
        <v>0</v>
      </c>
      <c r="D17" s="9" t="s">
        <v>3</v>
      </c>
      <c r="E17" s="1"/>
    </row>
    <row r="18" spans="1:5" x14ac:dyDescent="0.25">
      <c r="A18" s="1"/>
      <c r="B18" s="69" t="s">
        <v>106</v>
      </c>
      <c r="C18" s="12">
        <f>SUM(C10:C17)</f>
        <v>-1630339</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uCY+AWlLpokpFlHhE98RDF82YSIu+Ei17FJ4Wno4AdX5Q/9MXnD4dLg498/widVjs0N+lhzc5lFLzt4xFCZyow==" saltValue="mvYe7USnPYfuBoiU1ALi/w=="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21gBCLU+ZW02h5F5JxoEHKDFkzouPQ/tuZdtJujMBv1QR0VXI+hkGIwmp+3E943jKmAPXOpJGq2Kc+rZSQkbdw==" saltValue="cPAmVCjWny5euK2BYvDCi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2" t="s">
        <v>15</v>
      </c>
      <c r="C9" s="74" t="s">
        <v>10</v>
      </c>
      <c r="D9" s="73"/>
      <c r="E9" s="74"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203</v>
      </c>
      <c r="C11" s="21">
        <v>156000</v>
      </c>
      <c r="D11" s="14" t="s">
        <v>3</v>
      </c>
      <c r="E11" s="9">
        <v>533960</v>
      </c>
      <c r="F11" s="14" t="s">
        <v>3</v>
      </c>
      <c r="G11" s="1"/>
    </row>
    <row r="12" spans="1:7" x14ac:dyDescent="0.25">
      <c r="A12" s="1"/>
      <c r="B12" s="26" t="s">
        <v>204</v>
      </c>
      <c r="C12" s="21">
        <v>79559</v>
      </c>
      <c r="D12" s="14" t="s">
        <v>3</v>
      </c>
      <c r="E12" s="9">
        <v>39386</v>
      </c>
      <c r="F12" s="14" t="s">
        <v>3</v>
      </c>
      <c r="G12" s="1"/>
    </row>
    <row r="13" spans="1:7" x14ac:dyDescent="0.25">
      <c r="A13" s="1"/>
      <c r="B13" s="26"/>
      <c r="C13" s="21"/>
      <c r="D13" s="14" t="s">
        <v>3</v>
      </c>
      <c r="E13" s="9"/>
      <c r="F13" s="14" t="s">
        <v>3</v>
      </c>
      <c r="G13" s="1"/>
    </row>
    <row r="14" spans="1:7" x14ac:dyDescent="0.25">
      <c r="A14" s="1"/>
      <c r="B14" s="26"/>
      <c r="C14" s="21"/>
      <c r="D14" s="14" t="s">
        <v>3</v>
      </c>
      <c r="E14" s="9"/>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112</v>
      </c>
      <c r="C17" s="12">
        <f>SUM(C10:C16)</f>
        <v>235559</v>
      </c>
      <c r="D17" s="13" t="s">
        <v>3</v>
      </c>
      <c r="E17" s="12">
        <f>SUM(E10:E16)</f>
        <v>573346</v>
      </c>
      <c r="F17" s="13" t="s">
        <v>3</v>
      </c>
      <c r="G17" s="1"/>
    </row>
    <row r="18" spans="1:7" x14ac:dyDescent="0.25">
      <c r="A18" s="1"/>
      <c r="B18" s="52" t="s">
        <v>147</v>
      </c>
      <c r="C18" s="12">
        <f>C17*(1+'Fane 13. Nøgletal'!C11)</f>
        <v>251176.56170000002</v>
      </c>
      <c r="D18" s="13" t="s">
        <v>3</v>
      </c>
      <c r="E18" s="12">
        <f>E17*(1+'Fane 13. Nøgletal'!C11)</f>
        <v>611358.83979999996</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IKofqF7mSdf9JpHhxDWWYvFdo4vLwhEPlXIBdn3dIs3RKRODcaej5KkGhqD04kdityTuu8ZRMs4r4ge0ZgOqg==" saltValue="r9JekfBbfIFjqJmFQCsMz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150</v>
      </c>
      <c r="C8" s="99"/>
      <c r="D8" s="99"/>
      <c r="E8" s="99"/>
      <c r="F8" s="100"/>
      <c r="G8" s="1"/>
    </row>
    <row r="9" spans="1:7" x14ac:dyDescent="0.25">
      <c r="A9" s="1"/>
      <c r="B9" s="72" t="s">
        <v>15</v>
      </c>
      <c r="C9" s="74" t="s">
        <v>10</v>
      </c>
      <c r="D9" s="75"/>
      <c r="E9" s="74" t="s">
        <v>26</v>
      </c>
      <c r="F9" s="27"/>
      <c r="G9" s="1"/>
    </row>
    <row r="10" spans="1:7" x14ac:dyDescent="0.25">
      <c r="A10" s="1"/>
      <c r="B10" s="23" t="s">
        <v>205</v>
      </c>
      <c r="C10" s="21">
        <v>608521</v>
      </c>
      <c r="D10" s="14" t="s">
        <v>3</v>
      </c>
      <c r="E10" s="9">
        <v>0</v>
      </c>
      <c r="F10" s="14" t="s">
        <v>3</v>
      </c>
      <c r="G10" s="1"/>
    </row>
    <row r="11" spans="1:7" x14ac:dyDescent="0.25">
      <c r="A11" s="1"/>
      <c r="B11" s="23" t="s">
        <v>203</v>
      </c>
      <c r="C11" s="21">
        <v>0</v>
      </c>
      <c r="D11" s="14" t="s">
        <v>3</v>
      </c>
      <c r="E11" s="9">
        <v>312339</v>
      </c>
      <c r="F11" s="14" t="s">
        <v>3</v>
      </c>
      <c r="G11" s="1"/>
    </row>
    <row r="12" spans="1:7" x14ac:dyDescent="0.25">
      <c r="A12" s="1"/>
      <c r="B12" s="23"/>
      <c r="C12" s="21"/>
      <c r="D12" s="14" t="s">
        <v>3</v>
      </c>
      <c r="E12" s="9"/>
      <c r="F12" s="14" t="s">
        <v>3</v>
      </c>
      <c r="G12" s="1"/>
    </row>
    <row r="13" spans="1:7" x14ac:dyDescent="0.25">
      <c r="A13" s="1"/>
      <c r="B13" s="52" t="s">
        <v>148</v>
      </c>
      <c r="C13" s="12">
        <f>SUM(C10:C12)</f>
        <v>608521</v>
      </c>
      <c r="D13" s="13" t="s">
        <v>3</v>
      </c>
      <c r="E13" s="12">
        <f>SUM(E10:E12)</f>
        <v>312339</v>
      </c>
      <c r="F13" s="13" t="s">
        <v>3</v>
      </c>
      <c r="G13" s="1"/>
    </row>
    <row r="14" spans="1:7" x14ac:dyDescent="0.25">
      <c r="A14" s="1"/>
      <c r="B14" s="52" t="s">
        <v>149</v>
      </c>
      <c r="C14" s="12">
        <f>C13*(1+'Fane 13. Nøgletal'!$C$11)^2</f>
        <v>691885.75427449006</v>
      </c>
      <c r="D14" s="13" t="s">
        <v>3</v>
      </c>
      <c r="E14" s="12">
        <f>E13*(1+'Fane 13. Nøgletal'!$C$11)^2</f>
        <v>355128.09681890998</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5zJG+6z4oH4PJLxKhJYzzjCxDvgDtR/DvAlgBdCvInxCO+OIBsK1zShGNTVv+i8jz+G4EIiCYK0bobDQaOj6pw==" saltValue="vjE0Gw3XkDNZSsFlosPAKQ=="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93</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4" t="s">
        <v>60</v>
      </c>
      <c r="C9" s="118" t="s">
        <v>10</v>
      </c>
      <c r="D9" s="119"/>
      <c r="E9" s="118" t="s">
        <v>26</v>
      </c>
      <c r="F9" s="119"/>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XnBrAzt2D9V5U/dBJDvDdyJWjJTOuTXAdaT0nCKIXn5ZSIZNy/GYty9CiGDIyLJ2YTkC2/XjIO2LHBKs8Mdw1w==" saltValue="LmpoiuEvfdntYD9WZQY6Yw=="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94</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152</v>
      </c>
      <c r="C8" s="99"/>
      <c r="D8" s="99"/>
      <c r="E8" s="99"/>
      <c r="F8" s="100"/>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E/mOC22EE5zmE4xtPuWkKDwPNECqthnDPfv4yB6hbVJiG+3jXWeJ4LhvkQTbuXKKDF1riIDMjt7LawFsjzVKjg==" saltValue="PmnMTMQgDSQATh2YIbfF/Q=="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6" t="s">
        <v>95</v>
      </c>
      <c r="C3" s="96"/>
      <c r="D3" s="1"/>
    </row>
    <row r="4" spans="1:4" ht="15" customHeight="1" x14ac:dyDescent="0.25">
      <c r="A4" s="1"/>
      <c r="B4" s="96"/>
      <c r="C4" s="96"/>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196</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197</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rKV13gmkiWvhalfiQcS1EFZTKCnZ8XPYDGWmBgLR/1SCv7W50mlnIKTUSCQVyo9TMqfTk8habCnbTy7yi+YwSQ==" saltValue="+1pr3NEPZKxjEdHU2uFqWQ=="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30159173.273065928</v>
      </c>
      <c r="D9" s="8" t="s">
        <v>3</v>
      </c>
      <c r="E9" s="1"/>
    </row>
    <row r="10" spans="1:5" ht="17.100000000000001" customHeight="1" x14ac:dyDescent="0.25">
      <c r="A10" s="1"/>
      <c r="B10" s="24" t="s">
        <v>32</v>
      </c>
      <c r="C10" s="7">
        <f>'Fane 10.1. Varige tillæg'!C18</f>
        <v>251176.56170000002</v>
      </c>
      <c r="D10" s="8" t="s">
        <v>3</v>
      </c>
      <c r="E10" s="1"/>
    </row>
    <row r="11" spans="1:5" ht="17.100000000000001" customHeight="1" x14ac:dyDescent="0.25">
      <c r="A11" s="1"/>
      <c r="B11" s="24" t="s">
        <v>33</v>
      </c>
      <c r="C11" s="9">
        <f>'Fane 10.1. Varige tillæg'!E18</f>
        <v>611358.83979999996</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2056739.285123721</v>
      </c>
      <c r="D16" s="8" t="s">
        <v>3</v>
      </c>
      <c r="E16" s="1"/>
    </row>
    <row r="17" spans="1:5" ht="17.100000000000001" customHeight="1" x14ac:dyDescent="0.25">
      <c r="A17" s="1"/>
      <c r="B17" s="24" t="s">
        <v>9</v>
      </c>
      <c r="C17" s="9">
        <f>-SUM(C9:C16)*'Fane 5. Individuelt eff. krav'!C9</f>
        <v>0</v>
      </c>
      <c r="D17" s="8" t="s">
        <v>3</v>
      </c>
      <c r="E17" s="1"/>
    </row>
    <row r="18" spans="1:5" ht="17.100000000000001" customHeight="1" x14ac:dyDescent="0.25">
      <c r="A18" s="1"/>
      <c r="B18" s="24" t="s">
        <v>21</v>
      </c>
      <c r="C18" s="9">
        <f>-'Fane 4.1. Gen. krav - drift'!C17</f>
        <v>-334988.89787040791</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32743459.061819244</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15000501.24872607</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691885.75427449006</v>
      </c>
      <c r="D24" s="8" t="s">
        <v>3</v>
      </c>
      <c r="E24" s="1"/>
    </row>
    <row r="25" spans="1:5" ht="15" customHeight="1" x14ac:dyDescent="0.25">
      <c r="A25" s="1"/>
      <c r="B25" s="24" t="s">
        <v>36</v>
      </c>
      <c r="C25" s="9">
        <f>'Fane 10.2. Engangstillæg'!E14</f>
        <v>355128.09681890998</v>
      </c>
      <c r="D25" s="8" t="s">
        <v>3</v>
      </c>
      <c r="E25" s="1"/>
    </row>
    <row r="26" spans="1:5" ht="15" customHeight="1" x14ac:dyDescent="0.25">
      <c r="A26" s="1"/>
      <c r="B26" s="24" t="s">
        <v>79</v>
      </c>
      <c r="C26" s="9">
        <f>-C24*('Fane 13. Nøgletal'!C23+'Fane 5. Individuelt eff. krav'!C9)</f>
        <v>-13837.715085489801</v>
      </c>
      <c r="D26" s="8" t="s">
        <v>3</v>
      </c>
      <c r="E26" s="1"/>
    </row>
    <row r="27" spans="1:5" ht="15" customHeight="1" x14ac:dyDescent="0.25">
      <c r="A27" s="1"/>
      <c r="B27" s="24" t="s">
        <v>80</v>
      </c>
      <c r="C27" s="9">
        <f>-C25*('Fane 13. Nøgletal'!C18+'Fane 5. Individuelt eff. krav'!C9)</f>
        <v>0</v>
      </c>
      <c r="D27" s="8" t="s">
        <v>3</v>
      </c>
      <c r="E27" s="1"/>
    </row>
    <row r="28" spans="1:5" x14ac:dyDescent="0.25">
      <c r="A28" s="1"/>
      <c r="B28" s="74" t="s">
        <v>40</v>
      </c>
      <c r="C28" s="50">
        <f>SUM(C24:C27)</f>
        <v>1033176.1360079102</v>
      </c>
      <c r="D28" s="11" t="s">
        <v>3</v>
      </c>
      <c r="E28" s="1"/>
    </row>
    <row r="29" spans="1:5" ht="15" customHeight="1" x14ac:dyDescent="0.25">
      <c r="A29" s="1"/>
      <c r="B29" s="25" t="s">
        <v>65</v>
      </c>
      <c r="C29" s="53"/>
      <c r="D29" s="19"/>
      <c r="E29" s="1"/>
    </row>
    <row r="30" spans="1:5" x14ac:dyDescent="0.25">
      <c r="A30" s="1"/>
      <c r="B30" s="58" t="s">
        <v>66</v>
      </c>
      <c r="C30" s="10">
        <f>'Fane 7. Kontrol af ØR2023'!C30</f>
        <v>0</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48777136.446553223</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WNKLGg7fj0g6J1Ft9fxvW4ZOA88YAVwMaPKfSYO8h8hwsGOyZpe63ao1Wvw03nqVjqGY05ImYBXifOtgnFOEWA==" saltValue="Kw25/azXJbgMjhDP3Wj27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32743459.061819244</v>
      </c>
      <c r="D9" s="8" t="s">
        <v>3</v>
      </c>
      <c r="E9" s="1"/>
    </row>
    <row r="10" spans="1:5" ht="15" customHeight="1" x14ac:dyDescent="0.25">
      <c r="A10" s="1"/>
      <c r="B10" s="47" t="s">
        <v>17</v>
      </c>
      <c r="C10" s="41">
        <f>C9*'Fane 13. Nøgletal'!C11</f>
        <v>2170891.3357986156</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drift'!C22</f>
        <v>-350054.68856323167</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34564295.709054627</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15995034.481516609</v>
      </c>
      <c r="D16" s="11" t="s">
        <v>3</v>
      </c>
      <c r="E16" s="1"/>
    </row>
    <row r="17" spans="1:5" x14ac:dyDescent="0.25">
      <c r="A17" s="1"/>
      <c r="B17" s="25" t="s">
        <v>65</v>
      </c>
      <c r="C17" s="53"/>
      <c r="D17" s="19"/>
      <c r="E17" s="1"/>
    </row>
    <row r="18" spans="1:5" ht="15" customHeight="1" x14ac:dyDescent="0.25">
      <c r="A18" s="1"/>
      <c r="B18" s="45" t="s">
        <v>66</v>
      </c>
      <c r="C18" s="10">
        <f>'Fane 7. Kontrol af ØR2023'!C30</f>
        <v>0</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50559330.190571234</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bmbOuxHDWTdY2OyLTmYLDcYW+4S1Q7d7GrlmdQsVjnmM8JYtguLkDzDC155wwMQ9xxroScj7GH6a4/Tz1obhJg==" saltValue="6IqbWW961NkNSoCQ+sgSs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34564295.709054627</v>
      </c>
      <c r="D9" s="8" t="s">
        <v>3</v>
      </c>
      <c r="E9" s="1"/>
    </row>
    <row r="10" spans="1:5" ht="15" customHeight="1" x14ac:dyDescent="0.25">
      <c r="A10" s="1"/>
      <c r="B10" s="47" t="s">
        <v>17</v>
      </c>
      <c r="C10" s="41">
        <f>C9*'Fane 13. Nøgletal'!C11</f>
        <v>2291612.8055103216</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drift'!C27</f>
        <v>-365798.04812667443</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36490110.466438271</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17055505.267641161</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53545615.734079435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yWzxt1dCy8asa/V+uH9k5XTKMTxuXLEMS05qndrlFxwv1TNGU3ryeP0mNT4JbqYMDlRWAR2DL0ewdNiVUaxDtg==" saltValue="2YzjMr8bwYQlDn+PNnCon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36490110.466438271</v>
      </c>
      <c r="D9" s="8" t="s">
        <v>3</v>
      </c>
      <c r="E9" s="1"/>
    </row>
    <row r="10" spans="1:5" ht="15" customHeight="1" x14ac:dyDescent="0.25">
      <c r="A10" s="1"/>
      <c r="B10" s="47" t="s">
        <v>17</v>
      </c>
      <c r="C10" s="9">
        <f>C9*'Fane 13. Nøgletal'!C11</f>
        <v>2419294.3239248572</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drift'!C32</f>
        <v>-382249.44954312348</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38527155.34082</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18186285.266885769</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56713440.607705772</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F1z5+asyu53nsHT/2JPwsBZ7lV03EAKUPa4Bnwau+xR9xIK6juEBmpDNIfXTVeD34HiymrLpD47SeoqIQzbf5g==" saltValue="kqgLU7S0vT7Du3BbTzgwb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2"/>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6" t="s">
        <v>134</v>
      </c>
      <c r="C3" s="96"/>
      <c r="D3" s="96"/>
      <c r="E3" s="1"/>
    </row>
    <row r="4" spans="1:5" ht="15" customHeight="1" x14ac:dyDescent="0.25">
      <c r="A4" s="1"/>
      <c r="B4" s="96"/>
      <c r="C4" s="96"/>
      <c r="D4" s="96"/>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28962224.457282629</v>
      </c>
      <c r="D9" s="8" t="s">
        <v>3</v>
      </c>
      <c r="E9" s="1"/>
    </row>
    <row r="10" spans="1:5" x14ac:dyDescent="0.25">
      <c r="A10" s="1"/>
      <c r="B10" s="24" t="s">
        <v>32</v>
      </c>
      <c r="C10" s="7">
        <v>293844.66159999999</v>
      </c>
      <c r="D10" s="8" t="s">
        <v>3</v>
      </c>
      <c r="E10" s="1"/>
    </row>
    <row r="11" spans="1:5" ht="15" customHeight="1" x14ac:dyDescent="0.25">
      <c r="A11" s="1"/>
      <c r="B11" s="24" t="s">
        <v>33</v>
      </c>
      <c r="C11" s="9">
        <v>151509.78640000001</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1067039.8300776617</v>
      </c>
      <c r="D16" s="8" t="s">
        <v>3</v>
      </c>
      <c r="E16" s="1"/>
    </row>
    <row r="17" spans="1:5" x14ac:dyDescent="0.25">
      <c r="A17" s="1"/>
      <c r="B17" s="24" t="s">
        <v>9</v>
      </c>
      <c r="C17" s="9">
        <v>0</v>
      </c>
      <c r="D17" s="8" t="s">
        <v>3</v>
      </c>
      <c r="E17" s="1"/>
    </row>
    <row r="18" spans="1:5" x14ac:dyDescent="0.25">
      <c r="A18" s="1"/>
      <c r="B18" s="24" t="s">
        <v>21</v>
      </c>
      <c r="C18" s="9">
        <v>-315445.46229436679</v>
      </c>
      <c r="D18" s="8" t="s">
        <v>3</v>
      </c>
      <c r="E18" s="1"/>
    </row>
    <row r="19" spans="1:5" x14ac:dyDescent="0.25">
      <c r="A19" s="1"/>
      <c r="B19" s="24" t="s">
        <v>22</v>
      </c>
      <c r="C19" s="9">
        <v>0</v>
      </c>
      <c r="D19" s="8" t="s">
        <v>3</v>
      </c>
      <c r="E19" s="1"/>
    </row>
    <row r="20" spans="1:5" x14ac:dyDescent="0.25">
      <c r="A20" s="1"/>
      <c r="B20" s="74" t="s">
        <v>19</v>
      </c>
      <c r="C20" s="10">
        <v>30159173.273065928</v>
      </c>
      <c r="D20" s="11" t="s">
        <v>3</v>
      </c>
      <c r="E20" s="1"/>
    </row>
    <row r="21" spans="1:5" x14ac:dyDescent="0.25">
      <c r="A21" s="1"/>
      <c r="B21" s="52" t="s">
        <v>11</v>
      </c>
      <c r="C21" s="53"/>
      <c r="D21" s="19"/>
      <c r="E21" s="1"/>
    </row>
    <row r="22" spans="1:5" x14ac:dyDescent="0.25">
      <c r="A22" s="1"/>
      <c r="B22" s="54" t="s">
        <v>11</v>
      </c>
      <c r="C22" s="10">
        <v>15987686.0816512</v>
      </c>
      <c r="D22" s="11" t="s">
        <v>3</v>
      </c>
      <c r="E22" s="1"/>
    </row>
    <row r="23" spans="1:5" x14ac:dyDescent="0.25">
      <c r="A23" s="1"/>
      <c r="B23" s="52" t="s">
        <v>39</v>
      </c>
      <c r="C23" s="53"/>
      <c r="D23" s="19"/>
      <c r="E23" s="1"/>
    </row>
    <row r="24" spans="1:5" ht="1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79</v>
      </c>
      <c r="C26" s="9">
        <v>0</v>
      </c>
      <c r="D26" s="8" t="s">
        <v>3</v>
      </c>
      <c r="E26" s="1"/>
    </row>
    <row r="27" spans="1:5" ht="14.25" customHeight="1" x14ac:dyDescent="0.25">
      <c r="A27" s="1"/>
      <c r="B27" s="24" t="s">
        <v>80</v>
      </c>
      <c r="C27" s="9">
        <v>0</v>
      </c>
      <c r="D27" s="8" t="s">
        <v>3</v>
      </c>
      <c r="E27" s="1"/>
    </row>
    <row r="28" spans="1:5" ht="14.25" customHeight="1" x14ac:dyDescent="0.25">
      <c r="A28" s="1"/>
      <c r="B28" s="74" t="s">
        <v>40</v>
      </c>
      <c r="C28" s="10">
        <v>0</v>
      </c>
      <c r="D28" s="11" t="s">
        <v>3</v>
      </c>
      <c r="E28" s="1"/>
    </row>
    <row r="29" spans="1:5" x14ac:dyDescent="0.25">
      <c r="A29" s="1"/>
      <c r="B29" s="25" t="s">
        <v>65</v>
      </c>
      <c r="C29" s="53"/>
      <c r="D29" s="19"/>
      <c r="E29" s="1"/>
    </row>
    <row r="30" spans="1:5" x14ac:dyDescent="0.25">
      <c r="A30" s="1"/>
      <c r="B30" s="58" t="s">
        <v>66</v>
      </c>
      <c r="C30" s="10">
        <v>-284461.73630551249</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25" t="s">
        <v>193</v>
      </c>
      <c r="C33" s="53"/>
      <c r="D33" s="19"/>
      <c r="E33" s="1"/>
    </row>
    <row r="34" spans="1:5" ht="15.6" customHeight="1" x14ac:dyDescent="0.25">
      <c r="A34" s="1"/>
      <c r="B34" s="58" t="s">
        <v>194</v>
      </c>
      <c r="C34" s="10">
        <v>506634.40968494175</v>
      </c>
      <c r="D34" s="11" t="s">
        <v>3</v>
      </c>
      <c r="E34" s="1"/>
    </row>
    <row r="35" spans="1:5" ht="15.6" customHeight="1" x14ac:dyDescent="0.25">
      <c r="A35" s="1"/>
      <c r="B35" s="52" t="s">
        <v>67</v>
      </c>
      <c r="C35" s="29">
        <v>46369032.028096557</v>
      </c>
      <c r="D35" s="19" t="s">
        <v>3</v>
      </c>
      <c r="E35" s="1"/>
    </row>
    <row r="36" spans="1:5" ht="30" customHeight="1" x14ac:dyDescent="0.25">
      <c r="A36" s="1"/>
      <c r="B36" s="97" t="s">
        <v>195</v>
      </c>
      <c r="C36" s="97"/>
      <c r="D36" s="97"/>
      <c r="E36" s="1"/>
    </row>
    <row r="37" spans="1:5" ht="27.75" customHeight="1"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row r="51" spans="1:5" hidden="1" x14ac:dyDescent="0.25"/>
    <row r="52" spans="1:5" hidden="1" x14ac:dyDescent="0.25"/>
  </sheetData>
  <sheetProtection algorithmName="SHA-512" hashValue="TJnS8t8/VbAhtLH/zjbHUwxmZrrudx6N+UntgDbutSLISNPgtbb/XAXkVf46nAIjgs8Iabg4B+TPAGoC+aYdvg==" saltValue="xYqFYd7Z+pPVFnhseNPdUA==" spinCount="100000" sheet="1" objects="1" scenarios="1"/>
  <mergeCells count="2">
    <mergeCell ref="B3:D4"/>
    <mergeCell ref="B36:D36"/>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6" t="s">
        <v>53</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32"/>
      <c r="D7" s="1"/>
      <c r="E7" s="1"/>
    </row>
    <row r="8" spans="1:5" x14ac:dyDescent="0.25">
      <c r="A8" s="1"/>
      <c r="B8" s="98" t="s">
        <v>75</v>
      </c>
      <c r="C8" s="99"/>
      <c r="D8" s="100"/>
      <c r="E8" s="1"/>
    </row>
    <row r="9" spans="1:5" x14ac:dyDescent="0.25">
      <c r="A9" s="1"/>
      <c r="B9" s="56" t="s">
        <v>167</v>
      </c>
      <c r="C9" s="22">
        <v>15454685.804461062</v>
      </c>
      <c r="D9" s="14" t="s">
        <v>3</v>
      </c>
      <c r="E9" s="1"/>
    </row>
    <row r="10" spans="1:5" x14ac:dyDescent="0.25">
      <c r="A10" s="1"/>
      <c r="B10" s="56" t="s">
        <v>110</v>
      </c>
      <c r="C10" s="22">
        <f>('Fane 3. Omkostninger i ØR2024'!C10+'Fane 3. Omkostninger i ØR2024'!C12+'Fane 3. Omkostninger i ØR2024'!C14)*(1+'Fane 13. Nøgletal'!C10)</f>
        <v>317587.31025728001</v>
      </c>
      <c r="D10" s="14" t="s">
        <v>3</v>
      </c>
      <c r="E10" s="1"/>
    </row>
    <row r="11" spans="1:5" x14ac:dyDescent="0.25">
      <c r="A11" s="1"/>
      <c r="B11" s="56" t="s">
        <v>81</v>
      </c>
      <c r="C11" s="22">
        <f>C9*'Fane 13. Nøgletal'!C23+C10*'Fane 13. Nøgletal'!C23</f>
        <v>315445.46229436685</v>
      </c>
      <c r="D11" s="14" t="s">
        <v>3</v>
      </c>
      <c r="E11" s="1"/>
    </row>
    <row r="12" spans="1:5" x14ac:dyDescent="0.25">
      <c r="A12" s="1"/>
      <c r="B12" s="52"/>
      <c r="C12" s="31"/>
      <c r="D12" s="19"/>
      <c r="E12" s="1"/>
    </row>
    <row r="13" spans="1:5" x14ac:dyDescent="0.25">
      <c r="A13" s="1"/>
      <c r="B13" s="1"/>
      <c r="C13" s="32"/>
      <c r="D13" s="1"/>
      <c r="E13" s="1"/>
    </row>
    <row r="14" spans="1:5" x14ac:dyDescent="0.25">
      <c r="A14" s="1"/>
      <c r="B14" s="98" t="s">
        <v>153</v>
      </c>
      <c r="C14" s="99"/>
      <c r="D14" s="100"/>
      <c r="E14" s="1"/>
    </row>
    <row r="15" spans="1:5" x14ac:dyDescent="0.25">
      <c r="A15" s="1"/>
      <c r="B15" s="56" t="s">
        <v>168</v>
      </c>
      <c r="C15" s="22">
        <f>(C9+C10-C11)*(1+'Fane 13. Nøgletal'!C11)</f>
        <v>16481615.325779686</v>
      </c>
      <c r="D15" s="14" t="s">
        <v>3</v>
      </c>
      <c r="E15" s="1"/>
    </row>
    <row r="16" spans="1:5" x14ac:dyDescent="0.25">
      <c r="A16" s="1"/>
      <c r="B16" s="56" t="s">
        <v>154</v>
      </c>
      <c r="C16" s="22">
        <f>('Fane 2.1. Økonomisk ramme 2025'!C10+'Fane 2.1. Økonomisk ramme 2025'!C12+'Fane 2.1. Økonomisk ramme 2025'!C14)*(1+'Fane 13. Nøgletal'!C11)</f>
        <v>267829.56774071004</v>
      </c>
      <c r="D16" s="14" t="s">
        <v>3</v>
      </c>
      <c r="E16" s="1"/>
    </row>
    <row r="17" spans="1:5" x14ac:dyDescent="0.25">
      <c r="A17" s="1"/>
      <c r="B17" s="56" t="s">
        <v>155</v>
      </c>
      <c r="C17" s="22">
        <f>(C15+C16)*'Fane 13. Nøgletal'!C23</f>
        <v>334988.89787040791</v>
      </c>
      <c r="D17" s="14" t="s">
        <v>3</v>
      </c>
      <c r="E17" s="1"/>
    </row>
    <row r="18" spans="1:5" x14ac:dyDescent="0.25">
      <c r="A18" s="1"/>
      <c r="B18" s="52"/>
      <c r="C18" s="31"/>
      <c r="D18" s="19"/>
      <c r="E18" s="1"/>
    </row>
    <row r="19" spans="1:5" x14ac:dyDescent="0.25">
      <c r="A19" s="1"/>
      <c r="B19" s="1"/>
      <c r="C19" s="32"/>
      <c r="D19" s="1"/>
      <c r="E19" s="1"/>
    </row>
    <row r="20" spans="1:5" x14ac:dyDescent="0.25">
      <c r="A20" s="1"/>
      <c r="B20" s="98" t="s">
        <v>170</v>
      </c>
      <c r="C20" s="99"/>
      <c r="D20" s="100"/>
      <c r="E20" s="1"/>
    </row>
    <row r="21" spans="1:5" x14ac:dyDescent="0.25">
      <c r="A21" s="1"/>
      <c r="B21" s="56" t="s">
        <v>169</v>
      </c>
      <c r="C21" s="48">
        <f>(C15+C16-C17)*(1+'Fane 13. Nøgletal'!C11)</f>
        <v>17502734.428161584</v>
      </c>
      <c r="D21" s="14" t="s">
        <v>3</v>
      </c>
      <c r="E21" s="1"/>
    </row>
    <row r="22" spans="1:5" x14ac:dyDescent="0.25">
      <c r="A22" s="1"/>
      <c r="B22" s="56" t="s">
        <v>171</v>
      </c>
      <c r="C22" s="48">
        <f>(C21)*'Fane 13. Nøgletal'!C23</f>
        <v>350054.68856323167</v>
      </c>
      <c r="D22" s="14" t="s">
        <v>3</v>
      </c>
      <c r="E22" s="1"/>
    </row>
    <row r="23" spans="1:5" x14ac:dyDescent="0.25">
      <c r="A23" s="1"/>
      <c r="B23" s="52"/>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18289902.406333722</v>
      </c>
      <c r="D26" s="14" t="s">
        <v>3</v>
      </c>
      <c r="E26" s="1"/>
    </row>
    <row r="27" spans="1:5" x14ac:dyDescent="0.25">
      <c r="A27" s="1"/>
      <c r="B27" s="56" t="s">
        <v>118</v>
      </c>
      <c r="C27" s="48">
        <f>(C26)*'Fane 13. Nøgletal'!C23</f>
        <v>365798.04812667443</v>
      </c>
      <c r="D27" s="14" t="s">
        <v>3</v>
      </c>
      <c r="E27" s="1"/>
    </row>
    <row r="28" spans="1:5" x14ac:dyDescent="0.25">
      <c r="A28" s="1"/>
      <c r="B28" s="52"/>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19112472.477156173</v>
      </c>
      <c r="D31" s="14" t="s">
        <v>3</v>
      </c>
      <c r="E31" s="1"/>
    </row>
    <row r="32" spans="1:5" x14ac:dyDescent="0.25">
      <c r="A32" s="1"/>
      <c r="B32" s="56" t="s">
        <v>138</v>
      </c>
      <c r="C32" s="48">
        <f>(C31)*'Fane 13. Nøgletal'!C23</f>
        <v>382249.44954312348</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4ilzIFuFTxRXXFH6h51j8FFi9pcPuXz7fVtR3NJiPpSFpGcjE27oc9/hh2oibXeLcPyKgUP6b91d/GIw2/uGwg==" saltValue="ihrD0q2eHMjQyYfu6wy5Iw=="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162</v>
      </c>
      <c r="C9" s="48">
        <v>14770806.518079391</v>
      </c>
      <c r="D9" s="14" t="s">
        <v>3</v>
      </c>
      <c r="E9" s="1"/>
    </row>
    <row r="10" spans="1:5" x14ac:dyDescent="0.25">
      <c r="A10" s="1"/>
      <c r="B10" s="56" t="s">
        <v>113</v>
      </c>
      <c r="C10" s="48">
        <f>('Fane 3. Omkostninger i ØR2024'!C11+'Fane 3. Omkostninger i ØR2024'!C13+'Fane 3. Omkostninger i ØR2024'!C15)*(1+'Fane 13. Nøgletal'!C10)</f>
        <v>163751.77714112002</v>
      </c>
      <c r="D10" s="14" t="s">
        <v>3</v>
      </c>
      <c r="E10" s="1"/>
    </row>
    <row r="11" spans="1:5" x14ac:dyDescent="0.25">
      <c r="A11" s="1"/>
      <c r="B11" s="56" t="s">
        <v>114</v>
      </c>
      <c r="C11" s="66">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8" t="s">
        <v>156</v>
      </c>
      <c r="C14" s="99"/>
      <c r="D14" s="100"/>
      <c r="E14" s="1"/>
    </row>
    <row r="15" spans="1:5" x14ac:dyDescent="0.25">
      <c r="A15" s="1"/>
      <c r="B15" s="56" t="s">
        <v>163</v>
      </c>
      <c r="C15" s="48">
        <f>(C9+C10-C11)*(1+'Fane 13. Nøgletal'!C11)</f>
        <v>15924719.510193631</v>
      </c>
      <c r="D15" s="14" t="s">
        <v>3</v>
      </c>
      <c r="E15" s="1"/>
    </row>
    <row r="16" spans="1:5" x14ac:dyDescent="0.25">
      <c r="A16" s="1"/>
      <c r="B16" s="56" t="s">
        <v>157</v>
      </c>
      <c r="C16" s="48">
        <f>('Fane 2.1. Økonomisk ramme 2025'!C11+'Fane 2.1. Økonomisk ramme 2025'!C13+'Fane 2.1. Økonomisk ramme 2025'!C15)*(1+'Fane 13. Nøgletal'!C11)</f>
        <v>651891.93087873992</v>
      </c>
      <c r="D16" s="14" t="s">
        <v>3</v>
      </c>
      <c r="E16" s="1"/>
    </row>
    <row r="17" spans="1:5" x14ac:dyDescent="0.25">
      <c r="A17" s="1"/>
      <c r="B17" s="56" t="s">
        <v>158</v>
      </c>
      <c r="C17" s="66">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8" t="s">
        <v>166</v>
      </c>
      <c r="C20" s="99"/>
      <c r="D20" s="100"/>
      <c r="E20" s="1"/>
    </row>
    <row r="21" spans="1:5" x14ac:dyDescent="0.25">
      <c r="A21" s="1"/>
      <c r="B21" s="56" t="s">
        <v>164</v>
      </c>
      <c r="C21" s="48">
        <f>(C15+C16-C17)*(1+'Fane 13. Nøgletal'!C11)</f>
        <v>17675640.779615469</v>
      </c>
      <c r="D21" s="14" t="s">
        <v>3</v>
      </c>
      <c r="E21" s="1"/>
    </row>
    <row r="22" spans="1:5" x14ac:dyDescent="0.25">
      <c r="A22" s="1"/>
      <c r="B22" s="56" t="s">
        <v>165</v>
      </c>
      <c r="C22" s="66">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18847535.763303977</v>
      </c>
      <c r="D26" s="14" t="s">
        <v>3</v>
      </c>
      <c r="E26" s="1"/>
    </row>
    <row r="27" spans="1:5" x14ac:dyDescent="0.25">
      <c r="A27" s="1"/>
      <c r="B27" s="56" t="s">
        <v>121</v>
      </c>
      <c r="C27" s="66">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20097127.38441103</v>
      </c>
      <c r="D31" s="14" t="s">
        <v>3</v>
      </c>
      <c r="E31" s="1"/>
    </row>
    <row r="32" spans="1:5" x14ac:dyDescent="0.25">
      <c r="A32" s="1"/>
      <c r="B32" s="56" t="s">
        <v>141</v>
      </c>
      <c r="C32" s="66">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eYpKZM9WvAtX0bbNRizfhkP6iqXgWKsGnroqCSywk92+7xPvfglCkOd576SX+cS1UojBjrTmGKSmppxtqbpp1w==" saltValue="YJHF5F9lpi050h/iv3cFkw=="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160</v>
      </c>
      <c r="C9" s="44">
        <v>0</v>
      </c>
      <c r="D9" s="1"/>
    </row>
    <row r="10" spans="1:4" x14ac:dyDescent="0.25">
      <c r="A10" s="1"/>
      <c r="B10" s="52"/>
      <c r="C10" s="19"/>
      <c r="D10" s="1"/>
    </row>
    <row r="11" spans="1:4" ht="15" customHeight="1" x14ac:dyDescent="0.25">
      <c r="A11" s="1"/>
      <c r="B11" s="103" t="s">
        <v>161</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CEnyIBoI3XEWs5up8XCNHfTFLSe/K40g/0BKkH/ya4Ei5MLjV3E4gy5m41FfVzoHPiwtTDbPGU57rtgWjDw0Gw==" saltValue="LqCG5xu1GDeL9Jh8zss2u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2024-10-10T08:23:13Z</dcterms:modified>
</cp:coreProperties>
</file>