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tenlien Vandværk a.m.b.a. (V173)\ØR2022\"/>
    </mc:Choice>
  </mc:AlternateContent>
  <bookViews>
    <workbookView xWindow="3105" yWindow="990" windowWidth="12735" windowHeight="4620" tabRatio="872" activeTab="1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 Ikke-påvirkelige omk." sheetId="19" r:id="rId7"/>
    <sheet name="Fane 5. Kontrol af ØR2020" sheetId="32" r:id="rId8"/>
    <sheet name="Fane 6. Korrektion af ØR2020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41" r:id="rId13"/>
    <sheet name="Fane 10. Tilknyttet virksomhed" sheetId="29" r:id="rId14"/>
    <sheet name="Fane 11. Bortfald" sheetId="21" r:id="rId15"/>
    <sheet name="Fane 12. Nøgletal" sheetId="26" r:id="rId16"/>
  </sheets>
  <externalReferences>
    <externalReference r:id="rId17"/>
  </externalReferences>
  <calcPr calcId="162913"/>
</workbook>
</file>

<file path=xl/calcChain.xml><?xml version="1.0" encoding="utf-8"?>
<calcChain xmlns="http://schemas.openxmlformats.org/spreadsheetml/2006/main">
  <c r="E33" i="32" l="1"/>
  <c r="E11" i="40" l="1"/>
  <c r="E28" i="27" l="1"/>
  <c r="E25" i="32" l="1"/>
  <c r="E35" i="32" s="1"/>
  <c r="E22" i="23" l="1"/>
  <c r="E22" i="22"/>
  <c r="E23" i="15"/>
  <c r="E29" i="32"/>
  <c r="C12" i="19"/>
  <c r="E29" i="2" l="1"/>
  <c r="E16" i="41"/>
  <c r="E25" i="41" l="1"/>
  <c r="E26" i="41" s="1"/>
  <c r="E20" i="41"/>
  <c r="E21" i="41" s="1"/>
  <c r="E10" i="41"/>
  <c r="E11" i="41" s="1"/>
  <c r="E15" i="41"/>
  <c r="E10" i="2" l="1"/>
  <c r="E15" i="27" l="1"/>
  <c r="E16" i="27" l="1"/>
  <c r="E17" i="27" s="1"/>
  <c r="E31" i="27" s="1"/>
  <c r="C16" i="23" l="1"/>
  <c r="C16" i="22"/>
  <c r="C17" i="15"/>
  <c r="C20" i="2"/>
  <c r="E16" i="22"/>
  <c r="E17" i="15"/>
  <c r="E20" i="2"/>
  <c r="E16" i="23" l="1"/>
  <c r="E12" i="40"/>
  <c r="E10" i="11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C32" i="39"/>
  <c r="E25" i="39"/>
  <c r="C25" i="39"/>
  <c r="E18" i="39"/>
  <c r="C18" i="39"/>
  <c r="E11" i="39"/>
  <c r="C11" i="39"/>
  <c r="E33" i="39" l="1"/>
  <c r="E34" i="39" s="1"/>
  <c r="E19" i="23" s="1"/>
  <c r="C33" i="39"/>
  <c r="C34" i="39" s="1"/>
  <c r="E18" i="23" s="1"/>
  <c r="E26" i="39"/>
  <c r="E27" i="39" s="1"/>
  <c r="E19" i="22" s="1"/>
  <c r="C26" i="39"/>
  <c r="C27" i="39" s="1"/>
  <c r="E18" i="22" s="1"/>
  <c r="E19" i="39"/>
  <c r="E20" i="39" s="1"/>
  <c r="E20" i="15" s="1"/>
  <c r="C19" i="39"/>
  <c r="C20" i="39" s="1"/>
  <c r="E19" i="15" s="1"/>
  <c r="E12" i="39"/>
  <c r="E13" i="39" s="1"/>
  <c r="C12" i="39"/>
  <c r="C13" i="39" s="1"/>
  <c r="E20" i="23" l="1"/>
  <c r="E23" i="2"/>
  <c r="E20" i="22"/>
  <c r="E22" i="2"/>
  <c r="E21" i="15" l="1"/>
  <c r="E24" i="2"/>
  <c r="F11" i="11" l="1"/>
  <c r="C10" i="37" s="1"/>
  <c r="C11" i="37" s="1"/>
  <c r="C12" i="37" s="1"/>
  <c r="G11" i="11"/>
  <c r="E11" i="21" l="1"/>
  <c r="E12" i="21" s="1"/>
  <c r="C11" i="21"/>
  <c r="C12" i="21" s="1"/>
  <c r="E11" i="29"/>
  <c r="E12" i="29" s="1"/>
  <c r="C11" i="29"/>
  <c r="C12" i="29" s="1"/>
  <c r="C13" i="19"/>
  <c r="E14" i="23" l="1"/>
  <c r="E14" i="22"/>
  <c r="E15" i="15"/>
  <c r="E18" i="2"/>
  <c r="E13" i="2" l="1"/>
  <c r="E12" i="2"/>
  <c r="E11" i="11" l="1"/>
  <c r="E10" i="37" s="1"/>
  <c r="E11" i="37" s="1"/>
  <c r="E12" i="37" l="1"/>
  <c r="E11" i="2" s="1"/>
  <c r="E9" i="2"/>
  <c r="E14" i="2" l="1"/>
  <c r="E15" i="2" s="1"/>
  <c r="E16" i="2" l="1"/>
  <c r="E32" i="2" s="1"/>
  <c r="E9" i="15" l="1"/>
  <c r="E11" i="15" s="1"/>
  <c r="E12" i="15" s="1"/>
  <c r="E13" i="15" l="1"/>
  <c r="E24" i="15" s="1"/>
  <c r="E8" i="22" l="1"/>
  <c r="E10" i="22" s="1"/>
  <c r="E11" i="22" s="1"/>
  <c r="E12" i="22" l="1"/>
  <c r="E23" i="22" s="1"/>
  <c r="E8" i="23" l="1"/>
  <c r="E10" i="23" s="1"/>
  <c r="E11" i="23" s="1"/>
  <c r="E12" i="23" l="1"/>
  <c r="E23" i="23" s="1"/>
</calcChain>
</file>

<file path=xl/sharedStrings.xml><?xml version="1.0" encoding="utf-8"?>
<sst xmlns="http://schemas.openxmlformats.org/spreadsheetml/2006/main" count="483" uniqueCount="179">
  <si>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</si>
  <si>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</si>
  <si>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</si>
  <si>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</si>
  <si>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</si>
  <si>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</si>
  <si>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</si>
  <si>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</si>
  <si>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</si>
  <si>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</si>
  <si>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</si>
  <si>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</si>
  <si>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</si>
  <si>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</si>
  <si>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</si>
  <si>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</si>
  <si>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</si>
  <si>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</si>
  <si>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</si>
  <si>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</si>
  <si>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</si>
  <si>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</si>
  <si>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</si>
  <si>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</si>
  <si>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</si>
  <si>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</si>
  <si>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</si>
  <si>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</si>
  <si>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</si>
  <si>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</si>
  <si>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</si>
  <si>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</si>
  <si>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</si>
  <si>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</si>
  <si>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</si>
  <si>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</si>
  <si>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</si>
  <si>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</si>
  <si>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</si>
  <si>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</si>
  <si>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</si>
  <si>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</si>
  <si>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</si>
  <si>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</si>
  <si>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</si>
  <si>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</si>
  <si>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</si>
  <si>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</si>
  <si>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</si>
  <si>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</si>
  <si>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</si>
  <si>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</si>
  <si>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</si>
  <si>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</si>
  <si>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</si>
  <si>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</si>
  <si>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</si>
  <si>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</si>
  <si>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</si>
  <si>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</si>
  <si>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</si>
  <si>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</si>
  <si>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</si>
  <si>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 xml:space="preserve">Effektiviseringskrav </t>
  </si>
  <si>
    <t>Fane 12: Nøgletal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</si>
  <si>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</si>
  <si>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</si>
  <si>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</si>
  <si>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</si>
  <si>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</si>
  <si>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Korrektion af den økonomiske ramme for 2019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</si>
  <si>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</si>
  <si>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</si>
  <si>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</si>
  <si>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</si>
  <si>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</si>
  <si>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</si>
  <si>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</si>
  <si>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</si>
  <si>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</si>
  <si>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</si>
  <si>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</si>
  <si>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</si>
  <si>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</si>
  <si>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</si>
  <si>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</si>
  <si>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</si>
  <si>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</si>
  <si>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</si>
  <si>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</si>
  <si>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</si>
  <si>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Samlede tillæg til periodevise driftsomkostninger jf. indmeldte oprensningsplan</t>
  </si>
  <si>
    <t>Difference (Korrektion)</t>
  </si>
  <si>
    <t>Generelt effektiviseringskrav - Drift</t>
  </si>
  <si>
    <t>Periodevise driftsomkostninger til de økonomiske rammer for 2022</t>
  </si>
  <si>
    <t>Periodevise driftsomkostninger i alt i 2022-prisniveau</t>
  </si>
  <si>
    <t>Periodevise driftsomkostninger til de økonomiske rammer for 2023</t>
  </si>
  <si>
    <t>Periodevise driftsomkostninger i alt i 2023-prisniveau</t>
  </si>
  <si>
    <t>Periodevise driftsomkostninger til de økonomiske rammer for 2024</t>
  </si>
  <si>
    <t>Periodevise driftsomkostninger i alt i 2024-prisniveau</t>
  </si>
  <si>
    <t>Periodevise driftsomkostninger</t>
  </si>
  <si>
    <t>Fane 12</t>
  </si>
  <si>
    <t>Kontrol med overholdelse af økonomiske rammer</t>
  </si>
  <si>
    <t>Kontrol med overholdelse af den økonomiske ramme</t>
  </si>
  <si>
    <t>Fane 9: Periodevise driftsomkostninger givet under prisloftsbekendtgørelsen</t>
  </si>
  <si>
    <t>Fane 10: Tilknyttet virksomhed under hovedvirksomheden</t>
  </si>
  <si>
    <t>Fane 11: Bortfald eller nedsættelse af omkostninger til mål, medfinansiering eller udvidelse</t>
  </si>
  <si>
    <t>Samlet økonomisk ramme for 2022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</si>
  <si>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</si>
  <si>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</si>
  <si>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</si>
  <si>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</si>
  <si>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</si>
  <si>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</si>
  <si>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 xml:space="preserve">Vejledende 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</si>
  <si>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</si>
  <si>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</si>
  <si>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</si>
  <si>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</si>
  <si>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</si>
  <si>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</si>
  <si>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Ikke-påvirkelige omkostninger i 2020-prisniveau</t>
  </si>
  <si>
    <t>Ikke-påvirkelige omkostninger i 2022-prisniveau</t>
  </si>
  <si>
    <t>Fane 6: Korrektioner af den økonomiske ramme for 2020</t>
  </si>
  <si>
    <t>Korrektion af periodevise driftsomkostninger i de økonomiske rammer for 2020</t>
  </si>
  <si>
    <t>Faktisk periodevis driftsomkostning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</si>
  <si>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</si>
  <si>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</si>
  <si>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</si>
  <si>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</si>
  <si>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</si>
  <si>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</si>
  <si>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</si>
  <si>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</si>
  <si>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</si>
  <si>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</si>
  <si>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</si>
  <si>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</si>
  <si>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Til økonomiske ramme for 2022</t>
  </si>
  <si>
    <t>Faktiske ikke-påvirkelige omkostninger i 2020</t>
  </si>
  <si>
    <t>Faktiske omkostninger i 2020</t>
  </si>
  <si>
    <t>- Heraf nye omkostninger i ØR21</t>
  </si>
  <si>
    <t xml:space="preserve">Øvrig korrektion af den økonomiske ramme </t>
  </si>
  <si>
    <t>Tillæg/fradrag for korrektion af den økonomiske ramme for 2019</t>
  </si>
  <si>
    <t>Fane 3: Videreførte omkostninger fra den økonomiske ramme for 2021</t>
  </si>
  <si>
    <t>Videreførte omkostninger fra den økonomiske ramme for 2020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</si>
  <si>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</si>
  <si>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</si>
  <si>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</si>
  <si>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</si>
  <si>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Prisudvikling til brug for ØR2017-2020</t>
  </si>
  <si>
    <t xml:space="preserve">Prisudvikling til brug for nye omkostninger i ØR2018 </t>
  </si>
  <si>
    <t>Tillæg/fradrag for korrektion af den økonomiske ramme for 2020</t>
  </si>
  <si>
    <t xml:space="preserve">Korrektion af grundlag </t>
  </si>
  <si>
    <t xml:space="preserve">Korrektion og kontrol med prisloft 2016 </t>
  </si>
  <si>
    <t xml:space="preserve">Indtægter fra tilbagebetalt skat eller sambeskatningsbidrag som følge af skattesagen </t>
  </si>
  <si>
    <t xml:space="preserve">Nedsættelse af økonomisk ramme som følge af skattesagen </t>
  </si>
  <si>
    <t>Periodevise driftsomkostninger i alt i 2019-prisniveau</t>
  </si>
  <si>
    <t>Ingen tilknyttet virksomhed</t>
  </si>
  <si>
    <t>Ingen engangstillæg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</si>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</sst>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6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0" fontId="17" fillId="3" borderId="1" xfId="0" applyFont="1" applyFill="1" applyBorder="1" applyAlignment="1" applyProtection="1"/>
    <xf numFmtId="3" fontId="17" fillId="4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sitad.dk\dfs\VAND\Skabeloner\&#216;konomiske%20rammer\2020\Bilag%20A\Endelige%20Bilag%20A%202021\Bilag%20A%20&#216;R2021%20-%20OverSpi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21"/>
      <sheetName val="Fane 2.2. Økonomisk ramme 2022"/>
      <sheetName val="Fane 2.3. Økonomisk ramme 2023"/>
      <sheetName val="Fane 2.4. Økonomisk ramme 2024"/>
      <sheetName val="Fane 3. Omkostninger i ØR2020"/>
      <sheetName val="Fane 4.1. Gen. krav - drift"/>
      <sheetName val="Fane 4.2. Gen. krav - anlæg"/>
      <sheetName val="Fane 5. Individuelt eff. krav"/>
      <sheetName val="Fane 6. Ikke-påvirkelige omk."/>
      <sheetName val="Fane 7. Kontrol af ØR2020"/>
      <sheetName val="Fane 8. Korrektion af ØR2019"/>
      <sheetName val="Fane 9. Anlægsprojekter"/>
      <sheetName val="Fane 10.1. Varige tillæg"/>
      <sheetName val="Fane 10.2. Engangstillæg"/>
      <sheetName val="Fane 11. Periodevise driftsomk."/>
      <sheetName val="Fane 12. Tilknyttet virksomhed"/>
      <sheetName val="Fane 13. Bortfald"/>
      <sheetName val="Fane 14. Nøgle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G11"/>
        </row>
      </sheetData>
      <sheetData sheetId="9"/>
      <sheetData sheetId="10"/>
      <sheetData sheetId="11"/>
      <sheetData sheetId="12"/>
      <sheetData sheetId="13"/>
      <sheetData sheetId="14"/>
      <sheetData sheetId="15">
        <row r="8">
          <cell r="E8"/>
        </row>
        <row r="14">
          <cell r="E14"/>
        </row>
        <row r="15">
          <cell r="E15"/>
        </row>
      </sheetData>
      <sheetData sheetId="16"/>
      <sheetData sheetId="17"/>
      <sheetData sheetId="18">
        <row r="13">
          <cell r="C13"/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view="pageLayout" zoomScaleNormal="100" workbookViewId="0">
      <selection activeCell="D13" sqref="D13:G13"/>
    </sheetView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4" t="s">
        <v>138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107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15</v>
      </c>
      <c r="D14" s="69" t="s">
        <v>36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31</v>
      </c>
      <c r="D15" s="69" t="s">
        <v>69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32</v>
      </c>
      <c r="D16" s="69" t="s">
        <v>108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65</v>
      </c>
      <c r="D17" s="69" t="s">
        <v>109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7</v>
      </c>
      <c r="D18" s="66" t="s">
        <v>12</v>
      </c>
      <c r="E18" s="67"/>
      <c r="F18" s="67"/>
      <c r="G18" s="68"/>
      <c r="H18" s="1"/>
      <c r="I18" s="1"/>
    </row>
    <row r="19" spans="1:9" x14ac:dyDescent="0.25">
      <c r="A19" s="1"/>
      <c r="B19" s="1"/>
      <c r="C19" s="6" t="s">
        <v>8</v>
      </c>
      <c r="D19" s="60" t="s">
        <v>110</v>
      </c>
      <c r="E19" s="61"/>
      <c r="F19" s="61"/>
      <c r="G19" s="62"/>
      <c r="H19" s="1"/>
      <c r="I19" s="1"/>
    </row>
    <row r="20" spans="1:9" x14ac:dyDescent="0.25">
      <c r="A20" s="1"/>
      <c r="B20" s="1"/>
      <c r="C20" s="6" t="s">
        <v>58</v>
      </c>
      <c r="D20" s="60" t="s">
        <v>111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40</v>
      </c>
      <c r="D21" s="60" t="s">
        <v>33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59</v>
      </c>
      <c r="D22" s="60" t="s">
        <v>41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60</v>
      </c>
      <c r="D23" s="60" t="s">
        <v>42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100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50</v>
      </c>
      <c r="D25" s="60" t="s">
        <v>71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61</v>
      </c>
      <c r="D26" s="60" t="s">
        <v>34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101</v>
      </c>
      <c r="D27" s="63" t="s">
        <v>62</v>
      </c>
      <c r="E27" s="64"/>
      <c r="F27" s="64"/>
      <c r="G27" s="6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tjKbi35ijc2NFDetJ6teL8vS1Mzhwq/nlzEfogI59pFpsJ5l0X5U/FSCk6dTsts1LdA5wVQ9divgYzpWBV6Fg==" saltValue="PVD3yyj4atQ/xz8qGAvZj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0:G20"/>
    <mergeCell ref="D24:G24"/>
  </mergeCells>
  <hyperlinks>
    <hyperlink ref="D14:G14" location="'Fane 2.2. Økonomisk ramme 2023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1'!A1" display="Omkostninger i ØR2020"/>
    <hyperlink ref="D23:G23" location="'Fane 8.2. Engangstillæg'!A1" display="Engangstillæg"/>
    <hyperlink ref="D20:G20" location="'Fane 6. Korrektion af ØR2019'!A1" display="Korrektion af den økonomiske ramme for 2019"/>
    <hyperlink ref="D24:G24" location="'Fane 9. Periodevise driftsomk.'!A1" display="Periodevise driftsomkostning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87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88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4" t="s">
        <v>2</v>
      </c>
      <c r="F9" s="44" t="s">
        <v>11</v>
      </c>
      <c r="G9" s="44" t="s">
        <v>26</v>
      </c>
      <c r="H9" s="57"/>
      <c r="I9" s="1"/>
    </row>
    <row r="10" spans="1:9" x14ac:dyDescent="0.25">
      <c r="A10" s="1"/>
      <c r="B10" s="55" t="s">
        <v>177</v>
      </c>
      <c r="C10" s="34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3" t="s">
        <v>89</v>
      </c>
      <c r="C11" s="94"/>
      <c r="D11" s="95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XD4CKROoxO2NP43CZEQMy1HFOk5a/sfSRAPmdIU3u5wKmkrZCqoS8TcgPxi8sLHimjxwG8YJPK9dP7TVD3RUQ==" saltValue="hS3vggp4ETrs0GXd/Cc2S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55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37</v>
      </c>
      <c r="C8" s="22"/>
      <c r="D8" s="22"/>
      <c r="E8" s="22"/>
      <c r="F8" s="59"/>
      <c r="G8" s="1"/>
    </row>
    <row r="9" spans="1:7" ht="17.25" customHeight="1" x14ac:dyDescent="0.25">
      <c r="A9" s="1"/>
      <c r="B9" s="40" t="s">
        <v>16</v>
      </c>
      <c r="C9" s="40" t="s">
        <v>11</v>
      </c>
      <c r="D9" s="41"/>
      <c r="E9" s="40" t="s">
        <v>27</v>
      </c>
      <c r="F9" s="57"/>
      <c r="G9" s="1"/>
    </row>
    <row r="10" spans="1:7" x14ac:dyDescent="0.25">
      <c r="A10" s="1"/>
      <c r="B10" s="20" t="s">
        <v>90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58" t="s">
        <v>76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8" t="s">
        <v>127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CUbNsBxBlajim4pqD0Mi2khuJ7ViiUbRHKniaEKyJRDsChNYM8VRiR2FwAasFvL6YXY8TqpZ4purlp+GDtI0Ag==" saltValue="dP26mWklby4k5M5wBYWo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56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51</v>
      </c>
      <c r="C8" s="94"/>
      <c r="D8" s="94"/>
      <c r="E8" s="94"/>
      <c r="F8" s="95"/>
      <c r="G8" s="1"/>
    </row>
    <row r="9" spans="1:7" x14ac:dyDescent="0.25">
      <c r="A9" s="1"/>
      <c r="B9" s="40" t="s">
        <v>16</v>
      </c>
      <c r="C9" s="40" t="s">
        <v>11</v>
      </c>
      <c r="D9" s="41"/>
      <c r="E9" s="40" t="s">
        <v>27</v>
      </c>
      <c r="F9" s="57"/>
      <c r="G9" s="1"/>
    </row>
    <row r="10" spans="1:7" x14ac:dyDescent="0.25">
      <c r="A10" s="1"/>
      <c r="B10" s="20" t="s">
        <v>159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8" t="s">
        <v>128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54</v>
      </c>
      <c r="C12" s="24">
        <f>-C11*'Fane 12. Nøgletal'!C19</f>
        <v>0</v>
      </c>
      <c r="D12" s="25" t="s">
        <v>3</v>
      </c>
      <c r="E12" s="24">
        <f>-E11*'Fane 12. Nøgletal'!C19</f>
        <v>0</v>
      </c>
      <c r="F12" s="25" t="s">
        <v>3</v>
      </c>
      <c r="G12" s="1"/>
    </row>
    <row r="13" spans="1:7" x14ac:dyDescent="0.25">
      <c r="A13" s="1"/>
      <c r="B13" s="58" t="s">
        <v>77</v>
      </c>
      <c r="C13" s="10">
        <f>SUM(C11:C12)*(1+'Fane 12. Nøgletal'!C14)^2</f>
        <v>0</v>
      </c>
      <c r="D13" s="11" t="s">
        <v>3</v>
      </c>
      <c r="E13" s="10">
        <f>SUM(E11:E12)*(1+'Fane 12.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3" t="s">
        <v>52</v>
      </c>
      <c r="C15" s="94"/>
      <c r="D15" s="94"/>
      <c r="E15" s="94"/>
      <c r="F15" s="95"/>
      <c r="G15" s="1"/>
    </row>
    <row r="16" spans="1:7" x14ac:dyDescent="0.25">
      <c r="A16" s="1"/>
      <c r="B16" s="40" t="s">
        <v>16</v>
      </c>
      <c r="C16" s="40" t="s">
        <v>11</v>
      </c>
      <c r="D16" s="41"/>
      <c r="E16" s="40" t="s">
        <v>27</v>
      </c>
      <c r="F16" s="57"/>
      <c r="G16" s="1"/>
    </row>
    <row r="17" spans="1:7" x14ac:dyDescent="0.25">
      <c r="A17" s="1"/>
      <c r="B17" s="20" t="s">
        <v>159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58" t="s">
        <v>128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54</v>
      </c>
      <c r="C19" s="24">
        <f>-C18*'Fane 12. Nøgletal'!C19</f>
        <v>0</v>
      </c>
      <c r="D19" s="25" t="s">
        <v>3</v>
      </c>
      <c r="E19" s="24">
        <f>-E18*'Fane 12. Nøgletal'!C19</f>
        <v>0</v>
      </c>
      <c r="F19" s="25" t="s">
        <v>3</v>
      </c>
      <c r="G19" s="1"/>
    </row>
    <row r="20" spans="1:7" x14ac:dyDescent="0.25">
      <c r="A20" s="1"/>
      <c r="B20" s="58" t="s">
        <v>83</v>
      </c>
      <c r="C20" s="10">
        <f>SUM(C18:C19)*(1+'Fane 12. Nøgletal'!C14)^3</f>
        <v>0</v>
      </c>
      <c r="D20" s="11" t="s">
        <v>3</v>
      </c>
      <c r="E20" s="10">
        <f>SUM(E18:E19)*(1+'Fane 12.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3" t="s">
        <v>85</v>
      </c>
      <c r="C22" s="94"/>
      <c r="D22" s="94"/>
      <c r="E22" s="94"/>
      <c r="F22" s="95"/>
      <c r="G22" s="1"/>
    </row>
    <row r="23" spans="1:7" x14ac:dyDescent="0.25">
      <c r="A23" s="1"/>
      <c r="B23" s="40" t="s">
        <v>16</v>
      </c>
      <c r="C23" s="40" t="s">
        <v>11</v>
      </c>
      <c r="D23" s="41"/>
      <c r="E23" s="40" t="s">
        <v>27</v>
      </c>
      <c r="F23" s="57"/>
      <c r="G23" s="1"/>
    </row>
    <row r="24" spans="1:7" x14ac:dyDescent="0.25">
      <c r="A24" s="1"/>
      <c r="B24" s="20" t="s">
        <v>159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58" t="s">
        <v>128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54</v>
      </c>
      <c r="C26" s="24">
        <f>-C25*'Fane 12. Nøgletal'!C19</f>
        <v>0</v>
      </c>
      <c r="D26" s="25" t="s">
        <v>3</v>
      </c>
      <c r="E26" s="24">
        <f>-E25*'Fane 12. Nøgletal'!C19</f>
        <v>0</v>
      </c>
      <c r="F26" s="25" t="s">
        <v>3</v>
      </c>
      <c r="G26" s="1"/>
    </row>
    <row r="27" spans="1:7" x14ac:dyDescent="0.25">
      <c r="A27" s="1"/>
      <c r="B27" s="58" t="s">
        <v>84</v>
      </c>
      <c r="C27" s="10">
        <f>SUM(C25:C26)*(1+'Fane 12. Nøgletal'!C14)^4</f>
        <v>0</v>
      </c>
      <c r="D27" s="11" t="s">
        <v>3</v>
      </c>
      <c r="E27" s="10">
        <f>SUM(E25:E26)*(1+'Fane 12.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3" t="s">
        <v>129</v>
      </c>
      <c r="C29" s="94"/>
      <c r="D29" s="94"/>
      <c r="E29" s="94"/>
      <c r="F29" s="95"/>
      <c r="G29" s="1"/>
    </row>
    <row r="30" spans="1:7" x14ac:dyDescent="0.25">
      <c r="A30" s="1"/>
      <c r="B30" s="40" t="s">
        <v>16</v>
      </c>
      <c r="C30" s="40" t="s">
        <v>11</v>
      </c>
      <c r="D30" s="41"/>
      <c r="E30" s="40" t="s">
        <v>27</v>
      </c>
      <c r="F30" s="57"/>
      <c r="G30" s="1"/>
    </row>
    <row r="31" spans="1:7" x14ac:dyDescent="0.25">
      <c r="A31" s="1"/>
      <c r="B31" s="20" t="s">
        <v>159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58" t="s">
        <v>128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54</v>
      </c>
      <c r="C33" s="24">
        <f>-C32*'Fane 12. Nøgletal'!C19</f>
        <v>0</v>
      </c>
      <c r="D33" s="25" t="s">
        <v>3</v>
      </c>
      <c r="E33" s="24">
        <f>-E32*'Fane 12. Nøgletal'!C19</f>
        <v>0</v>
      </c>
      <c r="F33" s="25" t="s">
        <v>3</v>
      </c>
      <c r="G33" s="1"/>
    </row>
    <row r="34" spans="1:7" x14ac:dyDescent="0.25">
      <c r="A34" s="1"/>
      <c r="B34" s="58" t="s">
        <v>130</v>
      </c>
      <c r="C34" s="10">
        <f>SUM(C32:C33)*(1+'Fane 12. Nøgletal'!C14)^5</f>
        <v>0</v>
      </c>
      <c r="D34" s="11" t="s">
        <v>3</v>
      </c>
      <c r="E34" s="10">
        <f>SUM(E32:E33)*(1+'Fane 12.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XVTZC/a3qGUvPUjMpI26enmmcL7blriVHG1UtGM9aEoZlyu03TKE7rtrhY9TIk/lfmWR9uYfI0locm1/zyKeA==" saltValue="odLwXFZjkWvAta2nltD2G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104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77"/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94</v>
      </c>
      <c r="C8" s="94"/>
      <c r="D8" s="94"/>
      <c r="E8" s="94"/>
      <c r="F8" s="95"/>
      <c r="G8" s="1"/>
    </row>
    <row r="9" spans="1:7" x14ac:dyDescent="0.25">
      <c r="A9" s="1"/>
      <c r="B9" s="109" t="s">
        <v>157</v>
      </c>
      <c r="C9" s="110"/>
      <c r="D9" s="111"/>
      <c r="E9" s="8">
        <v>7221.3861764705707</v>
      </c>
      <c r="F9" s="12" t="s">
        <v>3</v>
      </c>
      <c r="G9" s="1"/>
    </row>
    <row r="10" spans="1:7" x14ac:dyDescent="0.25">
      <c r="A10" s="1"/>
      <c r="B10" s="87" t="s">
        <v>93</v>
      </c>
      <c r="C10" s="88"/>
      <c r="D10" s="89"/>
      <c r="E10" s="8">
        <f>-E9*'Fane 12. Nøgletal'!C19</f>
        <v>-122.76356499999972</v>
      </c>
      <c r="F10" s="12" t="s">
        <v>3</v>
      </c>
      <c r="G10" s="1"/>
    </row>
    <row r="11" spans="1:7" x14ac:dyDescent="0.25">
      <c r="A11" s="1"/>
      <c r="B11" s="93" t="s">
        <v>95</v>
      </c>
      <c r="C11" s="94"/>
      <c r="D11" s="95"/>
      <c r="E11" s="10">
        <f>SUM(E9:E10)*(1+'Fane 12. Nøgletal'!C13)^3</f>
        <v>7361.6147660385404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3" t="s">
        <v>96</v>
      </c>
      <c r="C13" s="94"/>
      <c r="D13" s="94"/>
      <c r="E13" s="94"/>
      <c r="F13" s="95"/>
      <c r="G13" s="1"/>
    </row>
    <row r="14" spans="1:7" x14ac:dyDescent="0.25">
      <c r="A14" s="1"/>
      <c r="B14" s="109" t="s">
        <v>131</v>
      </c>
      <c r="C14" s="110"/>
      <c r="D14" s="111"/>
      <c r="E14" s="8">
        <v>7363.6474841470408</v>
      </c>
      <c r="F14" s="12" t="s">
        <v>3</v>
      </c>
      <c r="G14" s="1"/>
    </row>
    <row r="15" spans="1:7" x14ac:dyDescent="0.25">
      <c r="A15" s="1"/>
      <c r="B15" s="87" t="s">
        <v>93</v>
      </c>
      <c r="C15" s="88"/>
      <c r="D15" s="89"/>
      <c r="E15" s="8">
        <f>-E14*'Fane 12. Nøgletal'!C19</f>
        <v>-125.18200723049971</v>
      </c>
      <c r="F15" s="12" t="s">
        <v>3</v>
      </c>
      <c r="G15" s="1"/>
    </row>
    <row r="16" spans="1:7" x14ac:dyDescent="0.25">
      <c r="A16" s="1"/>
      <c r="B16" s="93" t="s">
        <v>97</v>
      </c>
      <c r="C16" s="94"/>
      <c r="D16" s="95"/>
      <c r="E16" s="10">
        <f>SUM(E14:E15)*(1+'Fane 12. Nøgletal'!C14)^3</f>
        <v>7310.3630259338806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3" t="s">
        <v>98</v>
      </c>
      <c r="C18" s="94"/>
      <c r="D18" s="94"/>
      <c r="E18" s="94"/>
      <c r="F18" s="95"/>
      <c r="G18" s="1"/>
    </row>
    <row r="19" spans="1:7" x14ac:dyDescent="0.25">
      <c r="A19" s="1"/>
      <c r="B19" s="109" t="s">
        <v>131</v>
      </c>
      <c r="C19" s="110"/>
      <c r="D19" s="111"/>
      <c r="E19" s="8">
        <v>7363.6474841470408</v>
      </c>
      <c r="F19" s="12" t="s">
        <v>3</v>
      </c>
      <c r="G19" s="1"/>
    </row>
    <row r="20" spans="1:7" x14ac:dyDescent="0.25">
      <c r="A20" s="1"/>
      <c r="B20" s="87" t="s">
        <v>93</v>
      </c>
      <c r="C20" s="88"/>
      <c r="D20" s="89"/>
      <c r="E20" s="8">
        <f>-E19*'Fane 12. Nøgletal'!C19</f>
        <v>-125.18200723049971</v>
      </c>
      <c r="F20" s="12" t="s">
        <v>3</v>
      </c>
      <c r="G20" s="1"/>
    </row>
    <row r="21" spans="1:7" x14ac:dyDescent="0.25">
      <c r="A21" s="1"/>
      <c r="B21" s="93" t="s">
        <v>99</v>
      </c>
      <c r="C21" s="94"/>
      <c r="D21" s="95"/>
      <c r="E21" s="10">
        <f>SUM(E19:E20)*(1+'Fane 12. Nøgletal'!C14)^4</f>
        <v>7334.4872239194638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3" t="s">
        <v>132</v>
      </c>
      <c r="C23" s="94"/>
      <c r="D23" s="94"/>
      <c r="E23" s="94"/>
      <c r="F23" s="95"/>
      <c r="G23" s="1"/>
    </row>
    <row r="24" spans="1:7" x14ac:dyDescent="0.25">
      <c r="A24" s="1"/>
      <c r="B24" s="109" t="s">
        <v>131</v>
      </c>
      <c r="C24" s="110"/>
      <c r="D24" s="111"/>
      <c r="E24" s="8">
        <v>7363.6474841470408</v>
      </c>
      <c r="F24" s="12" t="s">
        <v>3</v>
      </c>
      <c r="G24" s="1"/>
    </row>
    <row r="25" spans="1:7" x14ac:dyDescent="0.25">
      <c r="A25" s="1"/>
      <c r="B25" s="87" t="s">
        <v>93</v>
      </c>
      <c r="C25" s="88"/>
      <c r="D25" s="89"/>
      <c r="E25" s="8">
        <f>-E24*'Fane 12. Nøgletal'!C19</f>
        <v>-125.18200723049971</v>
      </c>
      <c r="F25" s="12" t="s">
        <v>3</v>
      </c>
      <c r="G25" s="1"/>
    </row>
    <row r="26" spans="1:7" x14ac:dyDescent="0.25">
      <c r="A26" s="1"/>
      <c r="B26" s="93" t="s">
        <v>133</v>
      </c>
      <c r="C26" s="94"/>
      <c r="D26" s="95"/>
      <c r="E26" s="10">
        <f>SUM(E24:E25)*(1+'Fane 12. Nøgletal'!C14)^5</f>
        <v>7358.6910317583988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1u/Le4MBDNkM1XHK/6kl5vT2zjgDUNoBSJB6RHipZC3hy1J5WtEd5wwX+q9QymHz8DQiOeLwxmUIXqMZ7efs4Q==" saltValue="ptSih6g8u9oSINe7R7DQFA==" spinCount="100000" sheet="1" objects="1" scenarios="1"/>
  <mergeCells count="17">
    <mergeCell ref="B25:D25"/>
    <mergeCell ref="B26:D26"/>
    <mergeCell ref="B19:D19"/>
    <mergeCell ref="B20:D20"/>
    <mergeCell ref="B21:D21"/>
    <mergeCell ref="B23:F23"/>
    <mergeCell ref="B24:D24"/>
    <mergeCell ref="B18:F18"/>
    <mergeCell ref="B3:F5"/>
    <mergeCell ref="B8:F8"/>
    <mergeCell ref="B9:D9"/>
    <mergeCell ref="B10:D10"/>
    <mergeCell ref="B11:D11"/>
    <mergeCell ref="B13:F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105</v>
      </c>
      <c r="C3" s="77"/>
      <c r="D3" s="77"/>
      <c r="E3" s="77"/>
      <c r="F3" s="77"/>
      <c r="G3" s="1"/>
    </row>
    <row r="4" spans="1:7" ht="25.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78</v>
      </c>
      <c r="C8" s="94"/>
      <c r="D8" s="94"/>
      <c r="E8" s="94"/>
      <c r="F8" s="95"/>
      <c r="G8" s="1"/>
    </row>
    <row r="9" spans="1:7" ht="15" customHeight="1" x14ac:dyDescent="0.25">
      <c r="A9" s="1"/>
      <c r="B9" s="56" t="s">
        <v>86</v>
      </c>
      <c r="C9" s="112" t="s">
        <v>11</v>
      </c>
      <c r="D9" s="113"/>
      <c r="E9" s="112" t="s">
        <v>27</v>
      </c>
      <c r="F9" s="113"/>
      <c r="G9" s="1"/>
    </row>
    <row r="10" spans="1:7" x14ac:dyDescent="0.25">
      <c r="A10" s="1"/>
      <c r="B10" s="20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134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Ko6siWIDTDLYgtcUShyqrnStKHg90YwtmJyMjFD4hLrnZA4pgRTNVSUML145wlxA5dyhSig9Dqx3YwTj5Onjw==" saltValue="NLDGC+Y1g91ZK0JY0kV9F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106</v>
      </c>
      <c r="C3" s="77"/>
      <c r="D3" s="77"/>
      <c r="E3" s="77"/>
      <c r="F3" s="77"/>
      <c r="G3" s="1"/>
    </row>
    <row r="4" spans="1:7" ht="25.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48</v>
      </c>
      <c r="C8" s="94"/>
      <c r="D8" s="94"/>
      <c r="E8" s="94"/>
      <c r="F8" s="95"/>
      <c r="G8" s="1"/>
    </row>
    <row r="9" spans="1:7" ht="15" customHeight="1" x14ac:dyDescent="0.25">
      <c r="A9" s="1"/>
      <c r="B9" s="56" t="s">
        <v>17</v>
      </c>
      <c r="C9" s="56" t="s">
        <v>11</v>
      </c>
      <c r="D9" s="57"/>
      <c r="E9" s="56" t="s">
        <v>27</v>
      </c>
      <c r="F9" s="57"/>
      <c r="G9" s="1"/>
    </row>
    <row r="10" spans="1:7" x14ac:dyDescent="0.25">
      <c r="A10" s="1"/>
      <c r="B10" s="20" t="s">
        <v>162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8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8" t="s">
        <v>45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49</v>
      </c>
      <c r="C14" s="94"/>
      <c r="D14" s="94"/>
      <c r="E14" s="94"/>
      <c r="F14" s="95"/>
      <c r="G14" s="1"/>
    </row>
    <row r="15" spans="1:7" ht="26.25" x14ac:dyDescent="0.25">
      <c r="A15" s="1"/>
      <c r="B15" s="56" t="s">
        <v>17</v>
      </c>
      <c r="C15" s="56" t="s">
        <v>11</v>
      </c>
      <c r="D15" s="57"/>
      <c r="E15" s="56" t="s">
        <v>27</v>
      </c>
      <c r="F15" s="57"/>
      <c r="G15" s="1"/>
    </row>
    <row r="16" spans="1:7" x14ac:dyDescent="0.25">
      <c r="A16" s="1"/>
      <c r="B16" s="20" t="s">
        <v>162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8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8" t="s">
        <v>46</v>
      </c>
      <c r="C18" s="10">
        <f>C17*(1+'Fane 12. Nøgletal'!C14)^2</f>
        <v>0</v>
      </c>
      <c r="D18" s="11" t="s">
        <v>3</v>
      </c>
      <c r="E18" s="10">
        <f>E17*(1+'Fane 12.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80</v>
      </c>
      <c r="C20" s="94"/>
      <c r="D20" s="94"/>
      <c r="E20" s="94"/>
      <c r="F20" s="95"/>
      <c r="G20" s="1"/>
    </row>
    <row r="21" spans="1:7" ht="26.25" x14ac:dyDescent="0.25">
      <c r="A21" s="1"/>
      <c r="B21" s="56" t="s">
        <v>17</v>
      </c>
      <c r="C21" s="56" t="s">
        <v>11</v>
      </c>
      <c r="D21" s="57"/>
      <c r="E21" s="56" t="s">
        <v>27</v>
      </c>
      <c r="F21" s="57"/>
      <c r="G21" s="1"/>
    </row>
    <row r="22" spans="1:7" x14ac:dyDescent="0.25">
      <c r="A22" s="1"/>
      <c r="B22" s="20" t="s">
        <v>162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8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8" t="s">
        <v>81</v>
      </c>
      <c r="C24" s="10">
        <f>C23*(1+'Fane 12. Nøgletal'!C14)^3</f>
        <v>0</v>
      </c>
      <c r="D24" s="11" t="s">
        <v>3</v>
      </c>
      <c r="E24" s="10">
        <f>E23*(1+'Fane 12.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135</v>
      </c>
      <c r="C26" s="94"/>
      <c r="D26" s="94"/>
      <c r="E26" s="94"/>
      <c r="F26" s="95"/>
      <c r="G26" s="1"/>
    </row>
    <row r="27" spans="1:7" ht="26.25" x14ac:dyDescent="0.25">
      <c r="A27" s="1"/>
      <c r="B27" s="56" t="s">
        <v>17</v>
      </c>
      <c r="C27" s="56" t="s">
        <v>11</v>
      </c>
      <c r="D27" s="57"/>
      <c r="E27" s="56" t="s">
        <v>27</v>
      </c>
      <c r="F27" s="57"/>
      <c r="G27" s="1"/>
    </row>
    <row r="28" spans="1:7" x14ac:dyDescent="0.25">
      <c r="A28" s="1"/>
      <c r="B28" s="20" t="s">
        <v>162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8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8" t="s">
        <v>136</v>
      </c>
      <c r="C30" s="10">
        <f>C29*(1+'Fane 12. Nøgletal'!C14)^4</f>
        <v>0</v>
      </c>
      <c r="D30" s="11" t="s">
        <v>3</v>
      </c>
      <c r="E30" s="10">
        <f>E29*(1+'Fane 12.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z5UFYvaceVr7FnV2Q5aKvJSnd1pL3Qq+c+lww+zRWRXPaJkrOz16DPh80QvszL1Pe25bzuD49g5Eei2c2UJCA==" saltValue="OlvyYRgot7xotHNUzowpQ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7" t="s">
        <v>64</v>
      </c>
      <c r="C3" s="77"/>
      <c r="D3" s="1"/>
    </row>
    <row r="4" spans="1:4" ht="25.5" customHeight="1" x14ac:dyDescent="0.25">
      <c r="A4" s="1"/>
      <c r="B4" s="77"/>
      <c r="C4" s="7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8" t="s">
        <v>14</v>
      </c>
      <c r="C8" s="59"/>
      <c r="D8" s="1"/>
    </row>
    <row r="9" spans="1:4" x14ac:dyDescent="0.25">
      <c r="A9" s="1"/>
      <c r="B9" s="26" t="s">
        <v>150</v>
      </c>
      <c r="C9" s="21">
        <v>1.2699999999999999E-2</v>
      </c>
      <c r="D9" s="1"/>
    </row>
    <row r="10" spans="1:4" x14ac:dyDescent="0.25">
      <c r="A10" s="1"/>
      <c r="B10" s="26" t="s">
        <v>151</v>
      </c>
      <c r="C10" s="21">
        <v>1.7500000000000002E-2</v>
      </c>
      <c r="D10" s="1"/>
    </row>
    <row r="11" spans="1:4" x14ac:dyDescent="0.25">
      <c r="A11" s="1"/>
      <c r="B11" s="26" t="s">
        <v>22</v>
      </c>
      <c r="C11" s="21">
        <v>1.6899999999999998E-2</v>
      </c>
      <c r="D11" s="1"/>
    </row>
    <row r="12" spans="1:4" x14ac:dyDescent="0.25">
      <c r="A12" s="1"/>
      <c r="B12" s="26" t="s">
        <v>35</v>
      </c>
      <c r="C12" s="21">
        <v>1.9699999999999999E-2</v>
      </c>
      <c r="D12" s="1"/>
    </row>
    <row r="13" spans="1:4" x14ac:dyDescent="0.25">
      <c r="A13" s="1"/>
      <c r="B13" s="28" t="s">
        <v>82</v>
      </c>
      <c r="C13" s="29">
        <v>1.2200000000000001E-2</v>
      </c>
      <c r="D13" s="1"/>
    </row>
    <row r="14" spans="1:4" x14ac:dyDescent="0.25">
      <c r="A14" s="1"/>
      <c r="B14" s="28" t="s">
        <v>137</v>
      </c>
      <c r="C14" s="29">
        <v>3.3E-3</v>
      </c>
      <c r="D14" s="1"/>
    </row>
    <row r="15" spans="1:4" x14ac:dyDescent="0.25">
      <c r="A15" s="1"/>
      <c r="B15" s="58"/>
      <c r="C15" s="59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8" t="s">
        <v>54</v>
      </c>
      <c r="C18" s="59"/>
      <c r="D18" s="1"/>
    </row>
    <row r="19" spans="1:4" x14ac:dyDescent="0.25">
      <c r="A19" s="1"/>
      <c r="B19" s="26" t="s">
        <v>63</v>
      </c>
      <c r="C19" s="21">
        <v>1.7000000000000001E-2</v>
      </c>
      <c r="D19" s="1"/>
    </row>
    <row r="20" spans="1:4" x14ac:dyDescent="0.25">
      <c r="A20" s="1"/>
      <c r="B20" s="114"/>
      <c r="C20" s="115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U+MljVjYF4D8aEqaclHxY29Skxomshe0CRO4ZZba5FD89nWm70z9V2wR/JxBj2FNKY1yfRHcTYY6QtcnvAu2iw==" saltValue="c9Lvf4VnNKqUN1ZX1CEwHw==" spinCount="100000" sheet="1" objects="1" scenarios="1"/>
  <mergeCells count="2">
    <mergeCell ref="B3:C4"/>
    <mergeCell ref="B20:C20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tabSelected="1" view="pageLayout" zoomScaleNormal="100" workbookViewId="0">
      <selection activeCell="I22" sqref="I22"/>
    </sheetView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112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</v>
      </c>
      <c r="C8" s="43"/>
      <c r="D8" s="43"/>
      <c r="E8" s="43"/>
      <c r="F8" s="43"/>
      <c r="G8" s="1"/>
    </row>
    <row r="9" spans="1:7" x14ac:dyDescent="0.25">
      <c r="A9" s="1"/>
      <c r="B9" s="38" t="s">
        <v>23</v>
      </c>
      <c r="C9" s="38"/>
      <c r="D9" s="38"/>
      <c r="E9" s="7">
        <f>'Fane 3. Omkostninger i ØR2021'!E17</f>
        <v>1526091.3659183164</v>
      </c>
      <c r="F9" s="38" t="s">
        <v>3</v>
      </c>
      <c r="G9" s="1"/>
    </row>
    <row r="10" spans="1:7" ht="17.100000000000001" customHeight="1" x14ac:dyDescent="0.25">
      <c r="A10" s="1"/>
      <c r="B10" s="32" t="s">
        <v>141</v>
      </c>
      <c r="C10" s="38"/>
      <c r="D10" s="38"/>
      <c r="E10" s="7">
        <f>('Fane 3. Omkostninger i ØR2021'!E11+'Fane 3. Omkostninger i ØR2021'!E13)*(1+'Fane 12. Nøgletal'!C13)*(1-'Fane 12. Nøgletal'!C19)</f>
        <v>0</v>
      </c>
      <c r="F10" s="38" t="s">
        <v>3</v>
      </c>
      <c r="G10" s="1"/>
    </row>
    <row r="11" spans="1:7" ht="17.100000000000001" customHeight="1" x14ac:dyDescent="0.25">
      <c r="A11" s="1"/>
      <c r="B11" s="27" t="s">
        <v>66</v>
      </c>
      <c r="C11" s="38"/>
      <c r="D11" s="38"/>
      <c r="E11" s="7">
        <f>'Fane 8.1. Varige tillæg'!C12+'Fane 8.1. Varige tillæg'!E12</f>
        <v>0</v>
      </c>
      <c r="F11" s="38" t="s">
        <v>3</v>
      </c>
      <c r="G11" s="1"/>
    </row>
    <row r="12" spans="1:7" ht="17.100000000000001" customHeight="1" x14ac:dyDescent="0.25">
      <c r="A12" s="1"/>
      <c r="B12" s="27" t="s">
        <v>68</v>
      </c>
      <c r="C12" s="38"/>
      <c r="D12" s="38"/>
      <c r="E12" s="8">
        <f>-('Fane 11. Bortfald'!C12+'Fane 11. Bortfald'!E12)</f>
        <v>0</v>
      </c>
      <c r="F12" s="38" t="s">
        <v>3</v>
      </c>
      <c r="G12" s="1"/>
    </row>
    <row r="13" spans="1:7" ht="17.100000000000001" customHeight="1" x14ac:dyDescent="0.25">
      <c r="A13" s="1"/>
      <c r="B13" s="27" t="s">
        <v>72</v>
      </c>
      <c r="C13" s="38"/>
      <c r="D13" s="38"/>
      <c r="E13" s="8">
        <f>'Fane 10. Tilknyttet virksomhed'!C12+'Fane 10. Tilknyttet virksomhed'!E12</f>
        <v>0</v>
      </c>
      <c r="F13" s="38" t="s">
        <v>3</v>
      </c>
      <c r="G13" s="1"/>
    </row>
    <row r="14" spans="1:7" ht="17.100000000000001" customHeight="1" x14ac:dyDescent="0.25">
      <c r="A14" s="1"/>
      <c r="B14" s="27" t="s">
        <v>18</v>
      </c>
      <c r="C14" s="38"/>
      <c r="D14" s="38"/>
      <c r="E14" s="8">
        <f>E9*'Fane 12. Nøgletal'!C13+SUM(E11:E13)*'Fane 12. Nøgletal'!C14</f>
        <v>18618.314664203463</v>
      </c>
      <c r="F14" s="38" t="s">
        <v>3</v>
      </c>
      <c r="G14" s="1"/>
    </row>
    <row r="15" spans="1:7" ht="17.100000000000001" customHeight="1" x14ac:dyDescent="0.25">
      <c r="A15" s="1"/>
      <c r="B15" s="27" t="s">
        <v>54</v>
      </c>
      <c r="C15" s="38"/>
      <c r="D15" s="38"/>
      <c r="E15" s="8">
        <f>-SUM(E9,E11:E14)*'Fane 12. Nøgletal'!C19</f>
        <v>-26260.064569902839</v>
      </c>
      <c r="F15" s="38" t="s">
        <v>3</v>
      </c>
      <c r="G15" s="1"/>
    </row>
    <row r="16" spans="1:7" ht="15" customHeight="1" x14ac:dyDescent="0.25">
      <c r="A16" s="1"/>
      <c r="B16" s="54" t="s">
        <v>20</v>
      </c>
      <c r="C16" s="42"/>
      <c r="D16" s="42"/>
      <c r="E16" s="9">
        <f>SUM(E9:E15)</f>
        <v>1518449.616012617</v>
      </c>
      <c r="F16" s="44" t="s">
        <v>3</v>
      </c>
      <c r="G16" s="1"/>
    </row>
    <row r="17" spans="1:7" ht="15" customHeight="1" x14ac:dyDescent="0.25">
      <c r="A17" s="1"/>
      <c r="B17" s="43" t="s">
        <v>12</v>
      </c>
      <c r="C17" s="43"/>
      <c r="D17" s="43"/>
      <c r="E17" s="43"/>
      <c r="F17" s="43"/>
      <c r="G17" s="1"/>
    </row>
    <row r="18" spans="1:7" ht="15" customHeight="1" x14ac:dyDescent="0.25">
      <c r="A18" s="1"/>
      <c r="B18" s="44" t="s">
        <v>12</v>
      </c>
      <c r="C18" s="44"/>
      <c r="D18" s="44"/>
      <c r="E18" s="9">
        <f>'Fane 4. Ikke-påvirkelige omk.'!C13</f>
        <v>7874.7169924700011</v>
      </c>
      <c r="F18" s="44" t="s">
        <v>3</v>
      </c>
      <c r="G18" s="1"/>
    </row>
    <row r="19" spans="1:7" ht="15" customHeight="1" x14ac:dyDescent="0.25">
      <c r="A19" s="1"/>
      <c r="B19" s="58" t="s">
        <v>100</v>
      </c>
      <c r="C19" s="22"/>
      <c r="D19" s="59"/>
      <c r="E19" s="43"/>
      <c r="F19" s="43"/>
      <c r="G19" s="1"/>
    </row>
    <row r="20" spans="1:7" ht="15" customHeight="1" x14ac:dyDescent="0.25">
      <c r="A20" s="1"/>
      <c r="B20" s="45" t="s">
        <v>100</v>
      </c>
      <c r="C20" s="9">
        <f>'[1]Fane 11. Periodevise driftsomk.'!E8</f>
        <v>0</v>
      </c>
      <c r="D20" s="44" t="s">
        <v>3</v>
      </c>
      <c r="E20" s="9">
        <f>'Fane 9. Periodevise driftsomk.'!E11</f>
        <v>7361.6147660385404</v>
      </c>
      <c r="F20" s="44" t="s">
        <v>3</v>
      </c>
      <c r="G20" s="1"/>
    </row>
    <row r="21" spans="1:7" x14ac:dyDescent="0.25">
      <c r="A21" s="1"/>
      <c r="B21" s="43" t="s">
        <v>42</v>
      </c>
      <c r="C21" s="43"/>
      <c r="D21" s="43"/>
      <c r="E21" s="43"/>
      <c r="F21" s="43"/>
      <c r="G21" s="1"/>
    </row>
    <row r="22" spans="1:7" ht="15" customHeight="1" x14ac:dyDescent="0.25">
      <c r="A22" s="1"/>
      <c r="B22" s="27" t="s">
        <v>38</v>
      </c>
      <c r="C22" s="38"/>
      <c r="D22" s="38"/>
      <c r="E22" s="8">
        <f>'Fane 8.2. Engangstillæg'!C13</f>
        <v>0</v>
      </c>
      <c r="F22" s="38" t="s">
        <v>3</v>
      </c>
      <c r="G22" s="1"/>
    </row>
    <row r="23" spans="1:7" x14ac:dyDescent="0.25">
      <c r="A23" s="1"/>
      <c r="B23" s="27" t="s">
        <v>39</v>
      </c>
      <c r="C23" s="38"/>
      <c r="D23" s="38"/>
      <c r="E23" s="8">
        <f>'Fane 8.2. Engangstillæg'!E13</f>
        <v>0</v>
      </c>
      <c r="F23" s="38" t="s">
        <v>3</v>
      </c>
      <c r="G23" s="1"/>
    </row>
    <row r="24" spans="1:7" x14ac:dyDescent="0.25">
      <c r="A24" s="1"/>
      <c r="B24" s="54" t="s">
        <v>43</v>
      </c>
      <c r="C24" s="42"/>
      <c r="D24" s="42"/>
      <c r="E24" s="9">
        <f>SUM(E22:E23)</f>
        <v>0</v>
      </c>
      <c r="F24" s="44" t="s">
        <v>3</v>
      </c>
      <c r="G24" s="1"/>
    </row>
    <row r="25" spans="1:7" x14ac:dyDescent="0.25">
      <c r="A25" s="1"/>
      <c r="B25" s="43" t="s">
        <v>102</v>
      </c>
      <c r="C25" s="43"/>
      <c r="D25" s="43"/>
      <c r="E25" s="43"/>
      <c r="F25" s="43"/>
      <c r="G25" s="1"/>
    </row>
    <row r="26" spans="1:7" x14ac:dyDescent="0.25">
      <c r="A26" s="1"/>
      <c r="B26" s="54" t="s">
        <v>30</v>
      </c>
      <c r="C26" s="42"/>
      <c r="D26" s="42"/>
      <c r="E26" s="9">
        <v>-41187.559346303664</v>
      </c>
      <c r="F26" s="44" t="s">
        <v>3</v>
      </c>
      <c r="G26" s="1"/>
    </row>
    <row r="27" spans="1:7" x14ac:dyDescent="0.25">
      <c r="A27" s="1"/>
      <c r="B27" s="54" t="s">
        <v>103</v>
      </c>
      <c r="C27" s="42"/>
      <c r="D27" s="42"/>
      <c r="E27" s="9">
        <v>0</v>
      </c>
      <c r="F27" s="44" t="s">
        <v>3</v>
      </c>
      <c r="G27" s="1"/>
    </row>
    <row r="28" spans="1:7" x14ac:dyDescent="0.25">
      <c r="A28" s="1"/>
      <c r="B28" s="43" t="s">
        <v>142</v>
      </c>
      <c r="C28" s="43"/>
      <c r="D28" s="43"/>
      <c r="E28" s="43"/>
      <c r="F28" s="43"/>
      <c r="G28" s="1"/>
    </row>
    <row r="29" spans="1:7" x14ac:dyDescent="0.25">
      <c r="A29" s="1"/>
      <c r="B29" s="44" t="s">
        <v>152</v>
      </c>
      <c r="C29" s="44"/>
      <c r="D29" s="44"/>
      <c r="E29" s="9">
        <f>'Fane 6. Korrektion af ØR2020'!E12</f>
        <v>0</v>
      </c>
      <c r="F29" s="44" t="s">
        <v>3</v>
      </c>
      <c r="G29" s="1"/>
    </row>
    <row r="30" spans="1:7" x14ac:dyDescent="0.25">
      <c r="A30" s="1"/>
      <c r="B30" s="43" t="s">
        <v>155</v>
      </c>
      <c r="C30" s="43" t="s">
        <v>155</v>
      </c>
      <c r="D30" s="43" t="s">
        <v>155</v>
      </c>
      <c r="E30" s="43"/>
      <c r="F30" s="43"/>
      <c r="G30" s="1"/>
    </row>
    <row r="31" spans="1:7" x14ac:dyDescent="0.25">
      <c r="A31" s="1"/>
      <c r="B31" s="54" t="s">
        <v>156</v>
      </c>
      <c r="C31" s="9"/>
      <c r="D31" s="44" t="s">
        <v>3</v>
      </c>
      <c r="E31" s="9">
        <v>0</v>
      </c>
      <c r="F31" s="44" t="s">
        <v>3</v>
      </c>
      <c r="G31" s="1"/>
    </row>
    <row r="32" spans="1:7" x14ac:dyDescent="0.25">
      <c r="A32" s="1"/>
      <c r="B32" s="43" t="s">
        <v>25</v>
      </c>
      <c r="C32" s="43"/>
      <c r="D32" s="43"/>
      <c r="E32" s="10">
        <f>SUM(E16,E18,E20,E24,E27,E26,E29,E31)</f>
        <v>1492498.3884248219</v>
      </c>
      <c r="F32" s="11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sheetProtection algorithmName="SHA-512" hashValue="aP7w/zCLycgWqx9vZow4PETpZpws+gVxtyvj8oGkv2bUu4eW+EMoo/GY1tiyc8eiIffpNyQ4Wl4If5Qrze4c7g==" saltValue="2ENkx7xGZDRxWihO1Vt6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113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114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</v>
      </c>
      <c r="C8" s="43"/>
      <c r="D8" s="43"/>
      <c r="E8" s="43"/>
      <c r="F8" s="43"/>
      <c r="G8" s="1"/>
    </row>
    <row r="9" spans="1:7" ht="15" customHeight="1" x14ac:dyDescent="0.25">
      <c r="A9" s="1"/>
      <c r="B9" s="38" t="s">
        <v>73</v>
      </c>
      <c r="C9" s="38"/>
      <c r="D9" s="38"/>
      <c r="E9" s="7">
        <f>'Fane 2.1. Økonomisk ramme 2022'!E16</f>
        <v>1518449.616012617</v>
      </c>
      <c r="F9" s="38" t="s">
        <v>3</v>
      </c>
      <c r="G9" s="1"/>
    </row>
    <row r="10" spans="1:7" ht="15" customHeight="1" x14ac:dyDescent="0.25">
      <c r="A10" s="1"/>
      <c r="B10" s="27" t="s">
        <v>68</v>
      </c>
      <c r="C10" s="38"/>
      <c r="D10" s="38"/>
      <c r="E10" s="7">
        <f>-('Fane 11. Bortfald'!C18+'Fane 11. Bortfald'!E18)</f>
        <v>0</v>
      </c>
      <c r="F10" s="38" t="s">
        <v>3</v>
      </c>
      <c r="G10" s="1"/>
    </row>
    <row r="11" spans="1:7" ht="15" customHeight="1" x14ac:dyDescent="0.25">
      <c r="A11" s="1"/>
      <c r="B11" s="39" t="s">
        <v>18</v>
      </c>
      <c r="C11" s="38"/>
      <c r="D11" s="38"/>
      <c r="E11" s="8">
        <f>SUM(E9:E10)*'Fane 12. Nøgletal'!C14</f>
        <v>5010.8837328416357</v>
      </c>
      <c r="F11" s="38" t="s">
        <v>3</v>
      </c>
      <c r="G11" s="1"/>
    </row>
    <row r="12" spans="1:7" ht="15" customHeight="1" x14ac:dyDescent="0.25">
      <c r="A12" s="1"/>
      <c r="B12" s="39" t="s">
        <v>54</v>
      </c>
      <c r="C12" s="38"/>
      <c r="D12" s="38"/>
      <c r="E12" s="8">
        <f>-SUM(E9:E11)*'Fane 12. Nøgletal'!C19</f>
        <v>-25898.828495672798</v>
      </c>
      <c r="F12" s="38" t="s">
        <v>3</v>
      </c>
      <c r="G12" s="1"/>
    </row>
    <row r="13" spans="1:7" ht="15" customHeight="1" x14ac:dyDescent="0.25">
      <c r="A13" s="1"/>
      <c r="B13" s="42" t="s">
        <v>20</v>
      </c>
      <c r="C13" s="42"/>
      <c r="D13" s="42"/>
      <c r="E13" s="9">
        <f>SUM(E9:E12)</f>
        <v>1497561.6712497857</v>
      </c>
      <c r="F13" s="44" t="s">
        <v>3</v>
      </c>
      <c r="G13" s="1"/>
    </row>
    <row r="14" spans="1:7" x14ac:dyDescent="0.25">
      <c r="A14" s="1"/>
      <c r="B14" s="43" t="s">
        <v>12</v>
      </c>
      <c r="C14" s="43"/>
      <c r="D14" s="43"/>
      <c r="E14" s="43"/>
      <c r="F14" s="43"/>
      <c r="G14" s="1"/>
    </row>
    <row r="15" spans="1:7" ht="15" customHeight="1" x14ac:dyDescent="0.25">
      <c r="A15" s="1"/>
      <c r="B15" s="44" t="s">
        <v>12</v>
      </c>
      <c r="C15" s="44"/>
      <c r="D15" s="44"/>
      <c r="E15" s="9">
        <f>'Fane 4. Ikke-påvirkelige omk.'!C13*(1+'Fane 12. Nøgletal'!C14)</f>
        <v>7900.7035585451531</v>
      </c>
      <c r="F15" s="44" t="s">
        <v>3</v>
      </c>
      <c r="G15" s="1"/>
    </row>
    <row r="16" spans="1:7" ht="15" customHeight="1" x14ac:dyDescent="0.25">
      <c r="A16" s="1"/>
      <c r="B16" s="58" t="s">
        <v>100</v>
      </c>
      <c r="C16" s="22"/>
      <c r="D16" s="59"/>
      <c r="E16" s="43"/>
      <c r="F16" s="43"/>
      <c r="G16" s="1"/>
    </row>
    <row r="17" spans="1:7" ht="15" customHeight="1" x14ac:dyDescent="0.25">
      <c r="A17" s="1"/>
      <c r="B17" s="45" t="s">
        <v>100</v>
      </c>
      <c r="C17" s="9">
        <f>'[1]Fane 11. Periodevise driftsomk.'!E15</f>
        <v>0</v>
      </c>
      <c r="D17" s="44" t="s">
        <v>3</v>
      </c>
      <c r="E17" s="9">
        <f>'Fane 9. Periodevise driftsomk.'!E16</f>
        <v>7310.3630259338806</v>
      </c>
      <c r="F17" s="44" t="s">
        <v>3</v>
      </c>
      <c r="G17" s="1"/>
    </row>
    <row r="18" spans="1:7" ht="15" customHeight="1" x14ac:dyDescent="0.25">
      <c r="A18" s="1"/>
      <c r="B18" s="43" t="s">
        <v>42</v>
      </c>
      <c r="C18" s="43"/>
      <c r="D18" s="43"/>
      <c r="E18" s="43"/>
      <c r="F18" s="43"/>
      <c r="G18" s="1"/>
    </row>
    <row r="19" spans="1:7" ht="15" customHeight="1" x14ac:dyDescent="0.25">
      <c r="A19" s="1"/>
      <c r="B19" s="27" t="s">
        <v>38</v>
      </c>
      <c r="C19" s="38"/>
      <c r="D19" s="38"/>
      <c r="E19" s="8">
        <f>'Fane 8.2. Engangstillæg'!C20</f>
        <v>0</v>
      </c>
      <c r="F19" s="38" t="s">
        <v>3</v>
      </c>
      <c r="G19" s="1"/>
    </row>
    <row r="20" spans="1:7" x14ac:dyDescent="0.25">
      <c r="A20" s="1"/>
      <c r="B20" s="27" t="s">
        <v>39</v>
      </c>
      <c r="C20" s="38"/>
      <c r="D20" s="38"/>
      <c r="E20" s="8">
        <f>'Fane 8.2. Engangstillæg'!E20</f>
        <v>0</v>
      </c>
      <c r="F20" s="38" t="s">
        <v>3</v>
      </c>
      <c r="G20" s="1"/>
    </row>
    <row r="21" spans="1:7" x14ac:dyDescent="0.25">
      <c r="A21" s="1"/>
      <c r="B21" s="54" t="s">
        <v>43</v>
      </c>
      <c r="C21" s="42"/>
      <c r="D21" s="42"/>
      <c r="E21" s="9">
        <f>SUM(E19:E20)</f>
        <v>0</v>
      </c>
      <c r="F21" s="44" t="s">
        <v>3</v>
      </c>
      <c r="G21" s="1"/>
    </row>
    <row r="22" spans="1:7" x14ac:dyDescent="0.25">
      <c r="A22" s="1"/>
      <c r="B22" s="43" t="s">
        <v>102</v>
      </c>
      <c r="C22" s="43" t="s">
        <v>155</v>
      </c>
      <c r="D22" s="43" t="s">
        <v>155</v>
      </c>
      <c r="E22" s="43"/>
      <c r="F22" s="43"/>
      <c r="G22" s="1"/>
    </row>
    <row r="23" spans="1:7" x14ac:dyDescent="0.25">
      <c r="A23" s="1"/>
      <c r="B23" s="54" t="s">
        <v>176</v>
      </c>
      <c r="C23" s="9"/>
      <c r="D23" s="44" t="s">
        <v>3</v>
      </c>
      <c r="E23" s="9">
        <f>'Fane 5. Kontrol af ØR2020'!E35</f>
        <v>-31577.102911899216</v>
      </c>
      <c r="F23" s="44" t="s">
        <v>3</v>
      </c>
      <c r="G23" s="1"/>
    </row>
    <row r="24" spans="1:7" x14ac:dyDescent="0.25">
      <c r="A24" s="1"/>
      <c r="B24" s="43" t="s">
        <v>47</v>
      </c>
      <c r="C24" s="43"/>
      <c r="D24" s="43"/>
      <c r="E24" s="10">
        <f>SUM(E13,E15,E17,E21,E23)</f>
        <v>1481195.6349223657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algorithmName="SHA-512" hashValue="AE8PdQdkX9xl8/HJ9l0nSJJZYhAOlFzSBkvZOXVTudqw88X+oKTfVgfQU1sA5Y7AE0dD+QXFnZnpLbBcMXRsGg==" saltValue="YqlHMBltJvIGtQpUIrUfR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115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21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25">
      <c r="A8" s="1"/>
      <c r="B8" s="38" t="s">
        <v>74</v>
      </c>
      <c r="C8" s="38"/>
      <c r="D8" s="38"/>
      <c r="E8" s="7">
        <f>'Fane 2.2. Økonomisk ramme 2023'!E13</f>
        <v>1497561.6712497857</v>
      </c>
      <c r="F8" s="38" t="s">
        <v>3</v>
      </c>
      <c r="G8" s="1"/>
    </row>
    <row r="9" spans="1:7" ht="15" customHeight="1" x14ac:dyDescent="0.25">
      <c r="A9" s="1"/>
      <c r="B9" s="38" t="s">
        <v>68</v>
      </c>
      <c r="C9" s="38"/>
      <c r="D9" s="38"/>
      <c r="E9" s="7">
        <f>-('Fane 11. Bortfald'!C24+'Fane 11.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18</v>
      </c>
      <c r="C10" s="38"/>
      <c r="D10" s="38"/>
      <c r="E10" s="8">
        <f>SUM(E8:E9)*'Fane 12. Nøgletal'!C14</f>
        <v>4941.9535151242926</v>
      </c>
      <c r="F10" s="38" t="s">
        <v>3</v>
      </c>
      <c r="G10" s="1"/>
    </row>
    <row r="11" spans="1:7" ht="15" customHeight="1" x14ac:dyDescent="0.25">
      <c r="A11" s="1"/>
      <c r="B11" s="39" t="s">
        <v>54</v>
      </c>
      <c r="C11" s="38"/>
      <c r="D11" s="38"/>
      <c r="E11" s="8">
        <f>-SUM(E8:E10)*'Fane 12. Nøgletal'!C19</f>
        <v>-25542.561621003471</v>
      </c>
      <c r="F11" s="38" t="s">
        <v>3</v>
      </c>
      <c r="G11" s="1"/>
    </row>
    <row r="12" spans="1:7" x14ac:dyDescent="0.25">
      <c r="A12" s="1"/>
      <c r="B12" s="42" t="s">
        <v>20</v>
      </c>
      <c r="C12" s="42"/>
      <c r="D12" s="42"/>
      <c r="E12" s="9">
        <f>SUM(E8:E11)</f>
        <v>1476961.0631439064</v>
      </c>
      <c r="F12" s="44" t="s">
        <v>3</v>
      </c>
      <c r="G12" s="1"/>
    </row>
    <row r="13" spans="1:7" x14ac:dyDescent="0.2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25">
      <c r="A14" s="1"/>
      <c r="B14" s="44" t="s">
        <v>12</v>
      </c>
      <c r="C14" s="44"/>
      <c r="D14" s="44"/>
      <c r="E14" s="9">
        <f>'Fane 4. Ikke-påvirkelige omk.'!C13*(1+'Fane 12. Nøgletal'!C14)^2</f>
        <v>7926.7758802883518</v>
      </c>
      <c r="F14" s="44" t="s">
        <v>3</v>
      </c>
      <c r="G14" s="1"/>
    </row>
    <row r="15" spans="1:7" ht="15" customHeight="1" x14ac:dyDescent="0.25">
      <c r="A15" s="1"/>
      <c r="B15" s="58" t="s">
        <v>100</v>
      </c>
      <c r="C15" s="22"/>
      <c r="D15" s="59"/>
      <c r="E15" s="43"/>
      <c r="F15" s="43"/>
      <c r="G15" s="1"/>
    </row>
    <row r="16" spans="1:7" ht="15" customHeight="1" x14ac:dyDescent="0.25">
      <c r="A16" s="1"/>
      <c r="B16" s="45" t="s">
        <v>100</v>
      </c>
      <c r="C16" s="9">
        <f>'[1]Fane 11. Periodevise driftsomk.'!E14</f>
        <v>0</v>
      </c>
      <c r="D16" s="44" t="s">
        <v>3</v>
      </c>
      <c r="E16" s="9">
        <f>'Fane 9. Periodevise driftsomk.'!E21</f>
        <v>7334.4872239194638</v>
      </c>
      <c r="F16" s="44" t="s">
        <v>3</v>
      </c>
      <c r="G16" s="1"/>
    </row>
    <row r="17" spans="1:7" ht="15" customHeight="1" x14ac:dyDescent="0.25">
      <c r="A17" s="1"/>
      <c r="B17" s="43" t="s">
        <v>42</v>
      </c>
      <c r="C17" s="43"/>
      <c r="D17" s="43"/>
      <c r="E17" s="43"/>
      <c r="F17" s="43"/>
      <c r="G17" s="1"/>
    </row>
    <row r="18" spans="1:7" ht="15" customHeight="1" x14ac:dyDescent="0.25">
      <c r="A18" s="1"/>
      <c r="B18" s="27" t="s">
        <v>38</v>
      </c>
      <c r="C18" s="38"/>
      <c r="D18" s="38"/>
      <c r="E18" s="8">
        <f>'Fane 8.2. Engangstillæg'!C27</f>
        <v>0</v>
      </c>
      <c r="F18" s="38" t="s">
        <v>3</v>
      </c>
      <c r="G18" s="1"/>
    </row>
    <row r="19" spans="1:7" x14ac:dyDescent="0.25">
      <c r="A19" s="1"/>
      <c r="B19" s="27" t="s">
        <v>39</v>
      </c>
      <c r="C19" s="38"/>
      <c r="D19" s="38"/>
      <c r="E19" s="8">
        <f>'Fane 8.2. Engangstillæg'!E27</f>
        <v>0</v>
      </c>
      <c r="F19" s="38" t="s">
        <v>3</v>
      </c>
      <c r="G19" s="1"/>
    </row>
    <row r="20" spans="1:7" x14ac:dyDescent="0.25">
      <c r="A20" s="1"/>
      <c r="B20" s="54" t="s">
        <v>43</v>
      </c>
      <c r="C20" s="42"/>
      <c r="D20" s="42"/>
      <c r="E20" s="9">
        <f>SUM(E18:E19)</f>
        <v>0</v>
      </c>
      <c r="F20" s="44" t="s">
        <v>3</v>
      </c>
      <c r="G20" s="1"/>
    </row>
    <row r="21" spans="1:7" x14ac:dyDescent="0.25">
      <c r="A21" s="1"/>
      <c r="B21" s="43" t="s">
        <v>102</v>
      </c>
      <c r="C21" s="43" t="s">
        <v>155</v>
      </c>
      <c r="D21" s="43" t="s">
        <v>155</v>
      </c>
      <c r="E21" s="43"/>
      <c r="F21" s="43"/>
      <c r="G21" s="1"/>
    </row>
    <row r="22" spans="1:7" x14ac:dyDescent="0.25">
      <c r="A22" s="1"/>
      <c r="B22" s="54" t="s">
        <v>103</v>
      </c>
      <c r="C22" s="9"/>
      <c r="D22" s="44" t="s">
        <v>3</v>
      </c>
      <c r="E22" s="9">
        <f>'Fane 5. Kontrol af ØR2020'!E35</f>
        <v>-31577.102911899216</v>
      </c>
      <c r="F22" s="44" t="s">
        <v>3</v>
      </c>
      <c r="G22" s="1"/>
    </row>
    <row r="23" spans="1:7" x14ac:dyDescent="0.25">
      <c r="A23" s="1"/>
      <c r="B23" s="43" t="s">
        <v>75</v>
      </c>
      <c r="C23" s="43"/>
      <c r="D23" s="43"/>
      <c r="E23" s="10">
        <f>SUM(E12,E14,E16,E20,E22)</f>
        <v>1460645.2233362151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V8PUl5FWppDq7m0adQBtKz+Za5ePHj+Kiouhk34Jk0Vgw/QQl/5y3YXO0DEUO50hpH0PP1glQcAMFE5evHf9Bg==" saltValue="d137FoT4FtCruLwvTwmva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21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25">
      <c r="A8" s="1"/>
      <c r="B8" s="38" t="s">
        <v>117</v>
      </c>
      <c r="C8" s="38"/>
      <c r="D8" s="38"/>
      <c r="E8" s="7">
        <f>'Fane 2.3. Økonomisk ramme 2024'!E12</f>
        <v>1476961.0631439064</v>
      </c>
      <c r="F8" s="38" t="s">
        <v>3</v>
      </c>
      <c r="G8" s="1"/>
    </row>
    <row r="9" spans="1:7" ht="15" customHeight="1" x14ac:dyDescent="0.25">
      <c r="A9" s="1"/>
      <c r="B9" s="38" t="s">
        <v>68</v>
      </c>
      <c r="C9" s="38"/>
      <c r="D9" s="38"/>
      <c r="E9" s="7">
        <f>-('Fane 11. Bortfald'!C30+'Fane 11.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18</v>
      </c>
      <c r="C10" s="38"/>
      <c r="D10" s="38"/>
      <c r="E10" s="8">
        <f>SUM(E8:E9)*'Fane 12. Nøgletal'!C14</f>
        <v>4873.9715083748915</v>
      </c>
      <c r="F10" s="38" t="s">
        <v>3</v>
      </c>
      <c r="G10" s="1"/>
    </row>
    <row r="11" spans="1:7" ht="15" customHeight="1" x14ac:dyDescent="0.25">
      <c r="A11" s="1"/>
      <c r="B11" s="39" t="s">
        <v>54</v>
      </c>
      <c r="C11" s="38"/>
      <c r="D11" s="38"/>
      <c r="E11" s="8">
        <f>-SUM(E8:E10)*'Fane 12. Nøgletal'!C19</f>
        <v>-25191.195589088784</v>
      </c>
      <c r="F11" s="38" t="s">
        <v>3</v>
      </c>
      <c r="G11" s="1"/>
    </row>
    <row r="12" spans="1:7" x14ac:dyDescent="0.25">
      <c r="A12" s="1"/>
      <c r="B12" s="42" t="s">
        <v>20</v>
      </c>
      <c r="C12" s="42"/>
      <c r="D12" s="42"/>
      <c r="E12" s="9">
        <f>SUM(E8:E11)</f>
        <v>1456643.8390631925</v>
      </c>
      <c r="F12" s="44" t="s">
        <v>3</v>
      </c>
      <c r="G12" s="1"/>
    </row>
    <row r="13" spans="1:7" x14ac:dyDescent="0.2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25">
      <c r="A14" s="1"/>
      <c r="B14" s="44" t="s">
        <v>12</v>
      </c>
      <c r="C14" s="44"/>
      <c r="D14" s="44"/>
      <c r="E14" s="9">
        <f>'Fane 4. Ikke-påvirkelige omk.'!C13*(1+'Fane 12. Nøgletal'!C14)^3</f>
        <v>7952.9342406933047</v>
      </c>
      <c r="F14" s="44" t="s">
        <v>3</v>
      </c>
      <c r="G14" s="1"/>
    </row>
    <row r="15" spans="1:7" ht="15" customHeight="1" x14ac:dyDescent="0.25">
      <c r="A15" s="1"/>
      <c r="B15" s="58" t="s">
        <v>100</v>
      </c>
      <c r="C15" s="22"/>
      <c r="D15" s="59"/>
      <c r="E15" s="43"/>
      <c r="F15" s="43"/>
      <c r="G15" s="1"/>
    </row>
    <row r="16" spans="1:7" ht="15" customHeight="1" x14ac:dyDescent="0.25">
      <c r="A16" s="1"/>
      <c r="B16" s="45" t="s">
        <v>100</v>
      </c>
      <c r="C16" s="9">
        <f>'[1]Fane 11. Periodevise driftsomk.'!E14</f>
        <v>0</v>
      </c>
      <c r="D16" s="44" t="s">
        <v>3</v>
      </c>
      <c r="E16" s="9">
        <f>'Fane 9. Periodevise driftsomk.'!E26</f>
        <v>7358.6910317583988</v>
      </c>
      <c r="F16" s="44" t="s">
        <v>3</v>
      </c>
      <c r="G16" s="1"/>
    </row>
    <row r="17" spans="1:7" ht="15" customHeight="1" x14ac:dyDescent="0.25">
      <c r="A17" s="1"/>
      <c r="B17" s="43" t="s">
        <v>42</v>
      </c>
      <c r="C17" s="43"/>
      <c r="D17" s="43"/>
      <c r="E17" s="43"/>
      <c r="F17" s="43"/>
      <c r="G17" s="1"/>
    </row>
    <row r="18" spans="1:7" ht="15" customHeight="1" x14ac:dyDescent="0.25">
      <c r="A18" s="1"/>
      <c r="B18" s="27" t="s">
        <v>38</v>
      </c>
      <c r="C18" s="38"/>
      <c r="D18" s="38"/>
      <c r="E18" s="8">
        <f>'Fane 8.2. Engangstillæg'!C34</f>
        <v>0</v>
      </c>
      <c r="F18" s="38" t="s">
        <v>3</v>
      </c>
      <c r="G18" s="1"/>
    </row>
    <row r="19" spans="1:7" x14ac:dyDescent="0.25">
      <c r="A19" s="1"/>
      <c r="B19" s="27" t="s">
        <v>39</v>
      </c>
      <c r="C19" s="38"/>
      <c r="D19" s="38"/>
      <c r="E19" s="8">
        <f>'Fane 8.2. Engangstillæg'!E34</f>
        <v>0</v>
      </c>
      <c r="F19" s="38" t="s">
        <v>3</v>
      </c>
      <c r="G19" s="1"/>
    </row>
    <row r="20" spans="1:7" x14ac:dyDescent="0.25">
      <c r="A20" s="1"/>
      <c r="B20" s="54" t="s">
        <v>43</v>
      </c>
      <c r="C20" s="42"/>
      <c r="D20" s="42"/>
      <c r="E20" s="9">
        <f>SUM(E18:E19)</f>
        <v>0</v>
      </c>
      <c r="F20" s="44" t="s">
        <v>3</v>
      </c>
      <c r="G20" s="1"/>
    </row>
    <row r="21" spans="1:7" x14ac:dyDescent="0.25">
      <c r="A21" s="1"/>
      <c r="B21" s="43" t="s">
        <v>102</v>
      </c>
      <c r="C21" s="43" t="s">
        <v>155</v>
      </c>
      <c r="D21" s="43" t="s">
        <v>155</v>
      </c>
      <c r="E21" s="43"/>
      <c r="F21" s="43"/>
      <c r="G21" s="1"/>
    </row>
    <row r="22" spans="1:7" x14ac:dyDescent="0.25">
      <c r="A22" s="1"/>
      <c r="B22" s="54" t="s">
        <v>103</v>
      </c>
      <c r="C22" s="9"/>
      <c r="D22" s="44" t="s">
        <v>3</v>
      </c>
      <c r="E22" s="9">
        <f>'Fane 5. Kontrol af ØR2020'!E35</f>
        <v>-31577.102911899216</v>
      </c>
      <c r="F22" s="44" t="s">
        <v>3</v>
      </c>
      <c r="G22" s="1"/>
    </row>
    <row r="23" spans="1:7" x14ac:dyDescent="0.25">
      <c r="A23" s="1"/>
      <c r="B23" s="43" t="s">
        <v>118</v>
      </c>
      <c r="C23" s="43"/>
      <c r="D23" s="43"/>
      <c r="E23" s="10">
        <f>SUM(E12,E14,E16,E20,E22)</f>
        <v>1440378.3614237448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1NrTJbyL95RPDxEniCpbioOko+vHaeq6fu74I99B+uBew0yIO+nuyqktahWsTCDekUYEhC3PBKtdpiUUCYKSWA==" saltValue="EjPi5wZdHgkDddjX5RVOX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14062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144</v>
      </c>
      <c r="C3" s="77"/>
      <c r="D3" s="77"/>
      <c r="E3" s="77"/>
      <c r="F3" s="77"/>
      <c r="G3" s="1"/>
    </row>
    <row r="4" spans="1:7" ht="29.2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119</v>
      </c>
      <c r="C8" s="43"/>
      <c r="D8" s="43"/>
      <c r="E8" s="43"/>
      <c r="F8" s="43"/>
      <c r="G8" s="1"/>
    </row>
    <row r="9" spans="1:7" x14ac:dyDescent="0.25">
      <c r="A9" s="1"/>
      <c r="B9" s="78" t="s">
        <v>145</v>
      </c>
      <c r="C9" s="78"/>
      <c r="D9" s="78"/>
      <c r="E9" s="7">
        <v>1531327.9169693768</v>
      </c>
      <c r="F9" s="38" t="s">
        <v>3</v>
      </c>
      <c r="G9" s="1"/>
    </row>
    <row r="10" spans="1:7" x14ac:dyDescent="0.25">
      <c r="A10" s="1"/>
      <c r="B10" s="79" t="s">
        <v>153</v>
      </c>
      <c r="C10" s="79"/>
      <c r="D10" s="79"/>
      <c r="E10" s="7">
        <v>2443.6567270671162</v>
      </c>
      <c r="F10" s="38" t="s">
        <v>3</v>
      </c>
      <c r="G10" s="1"/>
    </row>
    <row r="11" spans="1:7" x14ac:dyDescent="0.25">
      <c r="A11" s="1"/>
      <c r="B11" s="79" t="s">
        <v>66</v>
      </c>
      <c r="C11" s="79"/>
      <c r="D11" s="79"/>
      <c r="E11" s="7">
        <v>0</v>
      </c>
      <c r="F11" s="38" t="s">
        <v>3</v>
      </c>
      <c r="G11" s="1"/>
    </row>
    <row r="12" spans="1:7" x14ac:dyDescent="0.25">
      <c r="A12" s="1"/>
      <c r="B12" s="79" t="s">
        <v>72</v>
      </c>
      <c r="C12" s="79"/>
      <c r="D12" s="79"/>
      <c r="E12" s="7">
        <v>0</v>
      </c>
      <c r="F12" s="38" t="s">
        <v>3</v>
      </c>
      <c r="G12" s="1"/>
    </row>
    <row r="13" spans="1:7" x14ac:dyDescent="0.25">
      <c r="A13" s="1"/>
      <c r="B13" s="79" t="s">
        <v>67</v>
      </c>
      <c r="C13" s="79"/>
      <c r="D13" s="79"/>
      <c r="E13" s="8">
        <v>0</v>
      </c>
      <c r="F13" s="38" t="s">
        <v>3</v>
      </c>
      <c r="G13" s="1"/>
    </row>
    <row r="14" spans="1:7" x14ac:dyDescent="0.25">
      <c r="A14" s="1"/>
      <c r="B14" s="79" t="s">
        <v>72</v>
      </c>
      <c r="C14" s="79"/>
      <c r="D14" s="79"/>
      <c r="E14" s="8"/>
      <c r="F14" s="38" t="s">
        <v>3</v>
      </c>
      <c r="G14" s="1"/>
    </row>
    <row r="15" spans="1:7" x14ac:dyDescent="0.25">
      <c r="A15" s="1"/>
      <c r="B15" s="79" t="s">
        <v>18</v>
      </c>
      <c r="C15" s="79"/>
      <c r="D15" s="79"/>
      <c r="E15" s="8">
        <f>SUM(E9:E13)*'Fane 12. Nøgletal'!C13</f>
        <v>18712.013199096618</v>
      </c>
      <c r="F15" s="38" t="s">
        <v>3</v>
      </c>
      <c r="G15" s="1"/>
    </row>
    <row r="16" spans="1:7" x14ac:dyDescent="0.25">
      <c r="A16" s="1"/>
      <c r="B16" s="79" t="s">
        <v>54</v>
      </c>
      <c r="C16" s="79"/>
      <c r="D16" s="79"/>
      <c r="E16" s="8">
        <f>-SUM(E9:E15)*'Fane 12. Nøgletal'!C19</f>
        <v>-26392.220977224191</v>
      </c>
      <c r="F16" s="38" t="s">
        <v>3</v>
      </c>
      <c r="G16" s="1"/>
    </row>
    <row r="17" spans="1:7" x14ac:dyDescent="0.25">
      <c r="A17" s="1"/>
      <c r="B17" s="84" t="s">
        <v>20</v>
      </c>
      <c r="C17" s="84"/>
      <c r="D17" s="84"/>
      <c r="E17" s="9">
        <f>SUM(E9:E16)</f>
        <v>1526091.3659183164</v>
      </c>
      <c r="F17" s="44" t="s">
        <v>3</v>
      </c>
      <c r="G17" s="1"/>
    </row>
    <row r="18" spans="1:7" x14ac:dyDescent="0.25">
      <c r="A18" s="1"/>
      <c r="B18" s="85" t="s">
        <v>12</v>
      </c>
      <c r="C18" s="85"/>
      <c r="D18" s="85"/>
      <c r="E18" s="43"/>
      <c r="F18" s="43"/>
      <c r="G18" s="1"/>
    </row>
    <row r="19" spans="1:7" x14ac:dyDescent="0.25">
      <c r="A19" s="1"/>
      <c r="B19" s="86" t="s">
        <v>12</v>
      </c>
      <c r="C19" s="86"/>
      <c r="D19" s="86"/>
      <c r="E19" s="9">
        <v>82116.56497716</v>
      </c>
      <c r="F19" s="44" t="s">
        <v>3</v>
      </c>
      <c r="G19" s="1"/>
    </row>
    <row r="20" spans="1:7" x14ac:dyDescent="0.25">
      <c r="A20" s="1"/>
      <c r="B20" s="43" t="s">
        <v>100</v>
      </c>
      <c r="C20" s="43"/>
      <c r="D20" s="43"/>
      <c r="E20" s="35"/>
      <c r="F20" s="43"/>
      <c r="G20" s="1"/>
    </row>
    <row r="21" spans="1:7" x14ac:dyDescent="0.25">
      <c r="A21" s="1"/>
      <c r="B21" s="54" t="s">
        <v>100</v>
      </c>
      <c r="C21" s="42"/>
      <c r="D21" s="42"/>
      <c r="E21" s="36">
        <v>7272.4966316881209</v>
      </c>
      <c r="F21" s="44" t="s">
        <v>3</v>
      </c>
      <c r="G21" s="1"/>
    </row>
    <row r="22" spans="1:7" ht="15.75" customHeight="1" x14ac:dyDescent="0.25">
      <c r="A22" s="1"/>
      <c r="B22" s="43" t="s">
        <v>42</v>
      </c>
      <c r="C22" s="43"/>
      <c r="D22" s="43"/>
      <c r="E22" s="43"/>
      <c r="F22" s="43"/>
      <c r="G22" s="1"/>
    </row>
    <row r="23" spans="1:7" ht="15.75" customHeight="1" x14ac:dyDescent="0.25">
      <c r="A23" s="1"/>
      <c r="B23" s="87" t="s">
        <v>38</v>
      </c>
      <c r="C23" s="88"/>
      <c r="D23" s="89"/>
      <c r="E23" s="30">
        <v>0</v>
      </c>
      <c r="F23" s="31" t="s">
        <v>3</v>
      </c>
      <c r="G23" s="1"/>
    </row>
    <row r="24" spans="1:7" x14ac:dyDescent="0.25">
      <c r="A24" s="1"/>
      <c r="B24" s="87" t="s">
        <v>39</v>
      </c>
      <c r="C24" s="88"/>
      <c r="D24" s="89"/>
      <c r="E24" s="30">
        <v>0</v>
      </c>
      <c r="F24" s="31" t="s">
        <v>3</v>
      </c>
      <c r="G24" s="1"/>
    </row>
    <row r="25" spans="1:7" x14ac:dyDescent="0.25">
      <c r="A25" s="1"/>
      <c r="B25" s="90" t="s">
        <v>43</v>
      </c>
      <c r="C25" s="91"/>
      <c r="D25" s="92"/>
      <c r="E25" s="9">
        <v>0</v>
      </c>
      <c r="F25" s="9" t="s">
        <v>3</v>
      </c>
      <c r="G25" s="1"/>
    </row>
    <row r="26" spans="1:7" ht="15" customHeight="1" x14ac:dyDescent="0.25">
      <c r="A26" s="1"/>
      <c r="B26" s="43" t="s">
        <v>102</v>
      </c>
      <c r="C26" s="43"/>
      <c r="D26" s="43"/>
      <c r="E26" s="43"/>
      <c r="F26" s="43"/>
      <c r="G26" s="1"/>
    </row>
    <row r="27" spans="1:7" ht="15" customHeight="1" x14ac:dyDescent="0.25">
      <c r="A27" s="1"/>
      <c r="B27" s="80" t="s">
        <v>154</v>
      </c>
      <c r="C27" s="81"/>
      <c r="D27" s="82"/>
      <c r="E27" s="9">
        <v>-41187.559346303664</v>
      </c>
      <c r="F27" s="9" t="s">
        <v>3</v>
      </c>
      <c r="G27" s="1"/>
    </row>
    <row r="28" spans="1:7" x14ac:dyDescent="0.25">
      <c r="A28" s="1"/>
      <c r="B28" s="80" t="s">
        <v>102</v>
      </c>
      <c r="C28" s="81"/>
      <c r="D28" s="82"/>
      <c r="E28" s="9">
        <f>'Fane 5. Kontrol af ØR2020'!E16</f>
        <v>0</v>
      </c>
      <c r="F28" s="9" t="s">
        <v>3</v>
      </c>
      <c r="G28" s="1"/>
    </row>
    <row r="29" spans="1:7" ht="15.4" customHeight="1" x14ac:dyDescent="0.25">
      <c r="A29" s="1"/>
      <c r="B29" s="43" t="s">
        <v>70</v>
      </c>
      <c r="C29" s="43"/>
      <c r="D29" s="43"/>
      <c r="E29" s="43"/>
      <c r="F29" s="43"/>
      <c r="G29" s="1"/>
    </row>
    <row r="30" spans="1:7" x14ac:dyDescent="0.25">
      <c r="A30" s="1"/>
      <c r="B30" s="80" t="s">
        <v>143</v>
      </c>
      <c r="C30" s="81"/>
      <c r="D30" s="82"/>
      <c r="E30" s="9">
        <v>16544</v>
      </c>
      <c r="F30" s="44" t="s">
        <v>3</v>
      </c>
      <c r="G30" s="1"/>
    </row>
    <row r="31" spans="1:7" x14ac:dyDescent="0.25">
      <c r="A31" s="1"/>
      <c r="B31" s="43" t="s">
        <v>24</v>
      </c>
      <c r="C31" s="43"/>
      <c r="D31" s="43"/>
      <c r="E31" s="10">
        <f>E17+E19+E21+E25+E27+E30+E28</f>
        <v>1590836.868180861</v>
      </c>
      <c r="F31" s="11" t="s">
        <v>3</v>
      </c>
      <c r="G31" s="1"/>
    </row>
    <row r="32" spans="1:7" x14ac:dyDescent="0.25">
      <c r="A32" s="1"/>
      <c r="B32" s="83" t="s">
        <v>120</v>
      </c>
      <c r="C32" s="83"/>
      <c r="D32" s="83"/>
      <c r="E32" s="83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B59" s="1"/>
      <c r="C59" s="1"/>
      <c r="D59" s="1"/>
      <c r="E59" s="1"/>
      <c r="F59" s="1"/>
    </row>
  </sheetData>
  <sheetProtection algorithmName="SHA-512" hashValue="ciF+I6bFKmQvQPO4YYAvtd0ZJJzamEJ9kqWR3XCSeUCCU2lry37Mxmn9E3/1GpIKq/YtyvWKRw7gsC/Dhk2r5g==" saltValue="ESq/dxq7VnIP/UsrChFxZg==" spinCount="100000" sheet="1" objects="1" scenarios="1"/>
  <mergeCells count="19">
    <mergeCell ref="B27:D27"/>
    <mergeCell ref="B32:F32"/>
    <mergeCell ref="B30:D30"/>
    <mergeCell ref="B16:D16"/>
    <mergeCell ref="B17:D17"/>
    <mergeCell ref="B18:D18"/>
    <mergeCell ref="B19:D19"/>
    <mergeCell ref="B23:D23"/>
    <mergeCell ref="B24:D24"/>
    <mergeCell ref="B25:D25"/>
    <mergeCell ref="B28:D28"/>
    <mergeCell ref="B3:F4"/>
    <mergeCell ref="B9:D9"/>
    <mergeCell ref="B11:D11"/>
    <mergeCell ref="B13:D13"/>
    <mergeCell ref="B15:D15"/>
    <mergeCell ref="B10:D10"/>
    <mergeCell ref="B14:D14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53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139</v>
      </c>
      <c r="C8" s="94"/>
      <c r="D8" s="95"/>
      <c r="E8" s="1"/>
      <c r="F8" s="1"/>
    </row>
    <row r="9" spans="1:6" ht="15" customHeight="1" x14ac:dyDescent="0.25">
      <c r="A9" s="1"/>
      <c r="B9" s="17" t="s">
        <v>28</v>
      </c>
      <c r="C9" s="44" t="s">
        <v>140</v>
      </c>
      <c r="D9" s="44"/>
      <c r="E9" s="1"/>
      <c r="F9" s="1"/>
    </row>
    <row r="10" spans="1:6" x14ac:dyDescent="0.25">
      <c r="A10" s="1"/>
      <c r="B10" s="26" t="s">
        <v>160</v>
      </c>
      <c r="C10" s="8">
        <v>6448</v>
      </c>
      <c r="D10" s="12" t="s">
        <v>3</v>
      </c>
      <c r="E10" s="1"/>
      <c r="F10" s="1"/>
    </row>
    <row r="11" spans="1:6" x14ac:dyDescent="0.25">
      <c r="A11" s="1"/>
      <c r="B11" s="26" t="s">
        <v>161</v>
      </c>
      <c r="C11" s="8">
        <v>1375</v>
      </c>
      <c r="D11" s="12" t="s">
        <v>3</v>
      </c>
      <c r="E11" s="1"/>
      <c r="F11" s="1"/>
    </row>
    <row r="12" spans="1:6" x14ac:dyDescent="0.25">
      <c r="A12" s="1"/>
      <c r="B12" s="58" t="s">
        <v>121</v>
      </c>
      <c r="C12" s="10">
        <f>SUM(C10:C11)</f>
        <v>7823</v>
      </c>
      <c r="D12" s="11" t="s">
        <v>3</v>
      </c>
      <c r="E12" s="1"/>
      <c r="F12" s="1"/>
    </row>
    <row r="13" spans="1:6" x14ac:dyDescent="0.25">
      <c r="A13" s="1"/>
      <c r="B13" s="58" t="s">
        <v>122</v>
      </c>
      <c r="C13" s="10">
        <f>C12*(1+'Fane 12. Nøgletal'!C14)^2</f>
        <v>7874.7169924700011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LFc87ORcFs3JEAferSunqvdCjOIr/Qj1iUJcU7f+aMZdn4Y+18iHs7hDDrBvWcS8RHps/7o1TXQg7rRmbWxcSA==" saltValue="iVX+/a4kKTUd5jFa+pWq0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7" t="s">
        <v>178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37"/>
      <c r="C6" s="37"/>
      <c r="D6" s="37"/>
      <c r="E6" s="37"/>
      <c r="F6" s="3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163</v>
      </c>
      <c r="C8" s="94"/>
      <c r="D8" s="94"/>
      <c r="E8" s="94"/>
      <c r="F8" s="95"/>
      <c r="G8" s="1"/>
    </row>
    <row r="9" spans="1:7" x14ac:dyDescent="0.25">
      <c r="A9" s="1"/>
      <c r="B9" s="99" t="s">
        <v>164</v>
      </c>
      <c r="C9" s="100"/>
      <c r="D9" s="101"/>
      <c r="E9" s="8">
        <v>255662.77340266877</v>
      </c>
      <c r="F9" s="12" t="s">
        <v>3</v>
      </c>
      <c r="G9" s="1"/>
    </row>
    <row r="10" spans="1:7" x14ac:dyDescent="0.25">
      <c r="A10" s="1"/>
      <c r="B10" s="99" t="s">
        <v>165</v>
      </c>
      <c r="C10" s="100"/>
      <c r="D10" s="101"/>
      <c r="E10" s="8">
        <v>61463.444089518161</v>
      </c>
      <c r="F10" s="12" t="s">
        <v>3</v>
      </c>
      <c r="G10" s="1"/>
    </row>
    <row r="11" spans="1:7" x14ac:dyDescent="0.25">
      <c r="A11" s="1"/>
      <c r="B11" s="99" t="s">
        <v>166</v>
      </c>
      <c r="C11" s="100"/>
      <c r="D11" s="101"/>
      <c r="E11" s="8">
        <v>-94462.351638944587</v>
      </c>
      <c r="F11" s="12" t="s">
        <v>3</v>
      </c>
      <c r="G11" s="1"/>
    </row>
    <row r="12" spans="1:7" x14ac:dyDescent="0.25">
      <c r="A12" s="1"/>
      <c r="B12" s="58"/>
      <c r="C12" s="22"/>
      <c r="D12" s="22"/>
      <c r="E12" s="22"/>
      <c r="F12" s="59"/>
      <c r="G12" s="1"/>
    </row>
    <row r="13" spans="1:7" ht="51.75" customHeight="1" x14ac:dyDescent="0.25">
      <c r="A13" s="1"/>
      <c r="B13" s="102" t="s">
        <v>167</v>
      </c>
      <c r="C13" s="103"/>
      <c r="D13" s="103"/>
      <c r="E13" s="103"/>
      <c r="F13" s="104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3" t="s">
        <v>168</v>
      </c>
      <c r="C15" s="94"/>
      <c r="D15" s="94"/>
      <c r="E15" s="94"/>
      <c r="F15" s="95"/>
      <c r="G15" s="1"/>
    </row>
    <row r="16" spans="1:7" x14ac:dyDescent="0.25">
      <c r="A16" s="1"/>
      <c r="B16" s="99" t="s">
        <v>169</v>
      </c>
      <c r="C16" s="100"/>
      <c r="D16" s="101"/>
      <c r="E16" s="8">
        <v>0</v>
      </c>
      <c r="F16" s="12" t="s">
        <v>3</v>
      </c>
      <c r="G16" s="1"/>
    </row>
    <row r="17" spans="1:7" x14ac:dyDescent="0.25">
      <c r="A17" s="1"/>
      <c r="B17" s="99" t="s">
        <v>170</v>
      </c>
      <c r="C17" s="100"/>
      <c r="D17" s="101"/>
      <c r="E17" s="8">
        <v>0</v>
      </c>
      <c r="F17" s="12" t="s">
        <v>3</v>
      </c>
      <c r="G17" s="1"/>
    </row>
    <row r="18" spans="1:7" x14ac:dyDescent="0.25">
      <c r="A18" s="1"/>
      <c r="B18" s="58"/>
      <c r="C18" s="22"/>
      <c r="D18" s="22"/>
      <c r="E18" s="22"/>
      <c r="F18" s="59"/>
      <c r="G18" s="1"/>
    </row>
    <row r="19" spans="1:7" ht="29.25" customHeight="1" x14ac:dyDescent="0.25">
      <c r="A19" s="1"/>
      <c r="B19" s="102" t="s">
        <v>171</v>
      </c>
      <c r="C19" s="103"/>
      <c r="D19" s="103"/>
      <c r="E19" s="103"/>
      <c r="F19" s="104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8" t="s">
        <v>146</v>
      </c>
      <c r="C21" s="49"/>
      <c r="D21" s="49"/>
      <c r="E21" s="49"/>
      <c r="F21" s="50"/>
      <c r="G21" s="1"/>
    </row>
    <row r="22" spans="1:7" x14ac:dyDescent="0.25">
      <c r="A22" s="1"/>
      <c r="B22" s="51" t="s">
        <v>147</v>
      </c>
      <c r="C22" s="52"/>
      <c r="D22" s="53"/>
      <c r="E22" s="8">
        <v>1419960.7224991608</v>
      </c>
      <c r="F22" s="12" t="s">
        <v>3</v>
      </c>
      <c r="G22" s="1"/>
    </row>
    <row r="23" spans="1:7" x14ac:dyDescent="0.25">
      <c r="A23" s="1"/>
      <c r="B23" s="51" t="s">
        <v>148</v>
      </c>
      <c r="C23" s="52"/>
      <c r="D23" s="53"/>
      <c r="E23" s="8">
        <v>1768933</v>
      </c>
      <c r="F23" s="12" t="s">
        <v>3</v>
      </c>
      <c r="G23" s="1"/>
    </row>
    <row r="24" spans="1:7" x14ac:dyDescent="0.25">
      <c r="A24" s="1"/>
      <c r="B24" s="51" t="s">
        <v>29</v>
      </c>
      <c r="C24" s="52"/>
      <c r="D24" s="53"/>
      <c r="E24" s="8">
        <v>0</v>
      </c>
      <c r="F24" s="12" t="s">
        <v>3</v>
      </c>
      <c r="G24" s="1"/>
    </row>
    <row r="25" spans="1:7" x14ac:dyDescent="0.25">
      <c r="A25" s="1"/>
      <c r="B25" s="45" t="s">
        <v>149</v>
      </c>
      <c r="C25" s="46"/>
      <c r="D25" s="47"/>
      <c r="E25" s="33">
        <f>E22-(E23-E24)</f>
        <v>-348972.27750083921</v>
      </c>
      <c r="F25" s="15" t="s">
        <v>3</v>
      </c>
      <c r="G25" s="1"/>
    </row>
    <row r="26" spans="1:7" x14ac:dyDescent="0.25">
      <c r="A26" s="1"/>
      <c r="B26" s="58"/>
      <c r="C26" s="22"/>
      <c r="D26" s="22"/>
      <c r="E26" s="22"/>
      <c r="F26" s="59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93" t="s">
        <v>172</v>
      </c>
      <c r="C28" s="94"/>
      <c r="D28" s="94"/>
      <c r="E28" s="94"/>
      <c r="F28" s="95"/>
      <c r="G28" s="1"/>
    </row>
    <row r="29" spans="1:7" x14ac:dyDescent="0.25">
      <c r="A29" s="1"/>
      <c r="B29" s="90" t="s">
        <v>173</v>
      </c>
      <c r="C29" s="91"/>
      <c r="D29" s="92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93"/>
      <c r="C30" s="94"/>
      <c r="D30" s="94"/>
      <c r="E30" s="94"/>
      <c r="F30" s="95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174</v>
      </c>
      <c r="C32" s="94"/>
      <c r="D32" s="94"/>
      <c r="E32" s="94"/>
      <c r="F32" s="95"/>
      <c r="G32" s="1"/>
    </row>
    <row r="33" spans="1:7" x14ac:dyDescent="0.25">
      <c r="A33" s="1"/>
      <c r="B33" s="105" t="s">
        <v>102</v>
      </c>
      <c r="C33" s="106"/>
      <c r="D33" s="107"/>
      <c r="E33" s="8">
        <f>IF(AND(SUM(E9:E11)&gt;0,E25&lt;0,ABS(SUM(E9:E11))&lt;ABS(E25)),(SUM(E9:E11)-ABS(E25)),IF(AND(SUM(E9:E11)&lt;0,E25&lt;0),E25,0))</f>
        <v>-126308.41164759686</v>
      </c>
      <c r="F33" s="12" t="s">
        <v>3</v>
      </c>
      <c r="G33" s="1"/>
    </row>
    <row r="34" spans="1:7" x14ac:dyDescent="0.25">
      <c r="A34" s="1"/>
      <c r="B34" s="105" t="s">
        <v>57</v>
      </c>
      <c r="C34" s="106"/>
      <c r="D34" s="107"/>
      <c r="E34" s="8">
        <v>4</v>
      </c>
      <c r="F34" s="12" t="s">
        <v>19</v>
      </c>
      <c r="G34" s="1"/>
    </row>
    <row r="35" spans="1:7" x14ac:dyDescent="0.25">
      <c r="A35" s="1"/>
      <c r="B35" s="108" t="s">
        <v>175</v>
      </c>
      <c r="C35" s="108"/>
      <c r="D35" s="108"/>
      <c r="E35" s="9">
        <f>E33/E34</f>
        <v>-31577.102911899216</v>
      </c>
      <c r="F35" s="15" t="s">
        <v>3</v>
      </c>
      <c r="G35" s="1"/>
    </row>
    <row r="36" spans="1:7" x14ac:dyDescent="0.25">
      <c r="A36" s="1"/>
      <c r="B36" s="96"/>
      <c r="C36" s="97"/>
      <c r="D36" s="97"/>
      <c r="E36" s="97"/>
      <c r="F36" s="9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HBITmNS1gSrY2zBFn9DdT2jqjaxezehH+MOqEtYnz+zxoDm72R1HlGfJb7AebXczp6jUNOTZLxbepCXkL3udw==" saltValue="RhnZJvWEXSLD/iRahuflJw==" spinCount="100000" sheet="1" objects="1" scenarios="1"/>
  <mergeCells count="18">
    <mergeCell ref="B3:F4"/>
    <mergeCell ref="B16:D16"/>
    <mergeCell ref="B17:D17"/>
    <mergeCell ref="B9:D9"/>
    <mergeCell ref="B35:D35"/>
    <mergeCell ref="B36:F36"/>
    <mergeCell ref="B8:F8"/>
    <mergeCell ref="B10:D10"/>
    <mergeCell ref="B11:D11"/>
    <mergeCell ref="B13:F13"/>
    <mergeCell ref="B15:F15"/>
    <mergeCell ref="B33:D33"/>
    <mergeCell ref="B34:D34"/>
    <mergeCell ref="B28:F28"/>
    <mergeCell ref="B19:F19"/>
    <mergeCell ref="B30:F30"/>
    <mergeCell ref="B29:D29"/>
    <mergeCell ref="B32:F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7" t="s">
        <v>123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93" t="s">
        <v>124</v>
      </c>
      <c r="C8" s="94"/>
      <c r="D8" s="94"/>
      <c r="E8" s="94"/>
      <c r="F8" s="95"/>
      <c r="G8" s="1"/>
    </row>
    <row r="9" spans="1:7" ht="15" customHeight="1" x14ac:dyDescent="0.25">
      <c r="A9" s="1"/>
      <c r="B9" s="102" t="s">
        <v>91</v>
      </c>
      <c r="C9" s="103"/>
      <c r="D9" s="104"/>
      <c r="E9" s="7">
        <v>0</v>
      </c>
      <c r="F9" s="38" t="s">
        <v>3</v>
      </c>
      <c r="G9" s="1"/>
    </row>
    <row r="10" spans="1:7" x14ac:dyDescent="0.25">
      <c r="A10" s="1"/>
      <c r="B10" s="99" t="s">
        <v>125</v>
      </c>
      <c r="C10" s="100"/>
      <c r="D10" s="101"/>
      <c r="E10" s="7">
        <v>0</v>
      </c>
      <c r="F10" s="38" t="s">
        <v>3</v>
      </c>
      <c r="G10" s="1"/>
    </row>
    <row r="11" spans="1:7" x14ac:dyDescent="0.25">
      <c r="A11" s="1"/>
      <c r="B11" s="90" t="s">
        <v>92</v>
      </c>
      <c r="C11" s="91"/>
      <c r="D11" s="92"/>
      <c r="E11" s="9">
        <f>E10-E9</f>
        <v>0</v>
      </c>
      <c r="F11" s="44" t="s">
        <v>3</v>
      </c>
      <c r="G11" s="1"/>
    </row>
    <row r="12" spans="1:7" x14ac:dyDescent="0.25">
      <c r="A12" s="1"/>
      <c r="B12" s="58" t="s">
        <v>126</v>
      </c>
      <c r="C12" s="22"/>
      <c r="D12" s="22"/>
      <c r="E12" s="10">
        <f>E11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ht="15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xW5Gh2QfgnnqaoYNMNfrCUdAnzzVKdbke9Ir3+FA9uxK40NraJtfh060OyGObUbtgEoDC+7IC/3dPFFlDRTkg==" saltValue="/34OWFo82U047YOufvrx7g==" spinCount="100000" sheet="1" objects="1" scenarios="1"/>
  <mergeCells count="5">
    <mergeCell ref="B8:F8"/>
    <mergeCell ref="B9:D9"/>
    <mergeCell ref="B3:F4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Korrektion af ØR2020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Amanda Fehler Vallgårda</cp:lastModifiedBy>
  <cp:lastPrinted>2016-06-14T12:57:30Z</cp:lastPrinted>
  <dcterms:created xsi:type="dcterms:W3CDTF">2016-06-02T08:51:18Z</dcterms:created>
  <dcterms:modified xsi:type="dcterms:W3CDTF">2021-08-20T12:38:25Z</dcterms:modified>
</cp:coreProperties>
</file>