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codeName="Denne_projektmappe" defaultThemeVersion="124226"/>
  <mc:AlternateContent xmlns:mc="http://schemas.openxmlformats.org/markup-compatibility/2006">
    <mc:Choice Requires="x15">
      <x15ac:absPath xmlns:x15ac="http://schemas.microsoft.com/office/spreadsheetml/2010/11/ac" url="E:\VAND\Sagsbehandling\Spildevand\NK-Spildevand AS (S072)\ØR2025\"/>
    </mc:Choice>
  </mc:AlternateContent>
  <xr:revisionPtr revIDLastSave="0" documentId="13_ncr:1_{8413D592-8D80-4C53-ABF1-347010CADC35}"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<sst xmlns="http://schemas.openxmlformats.org/spreadsheetml/2006/main" count="554" uniqueCount="238">
  <si>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</si>
  <si>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</si>
  <si>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</si>
  <si>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</si>
  <si>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</si>
  <si>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</si>
  <si>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</si>
  <si>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</si>
  <si>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</si>
  <si>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</si>
  <si>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</si>
  <si>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</si>
  <si>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</si>
  <si>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</si>
  <si>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</si>
  <si>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</si>
  <si>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</si>
  <si>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</si>
  <si>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</si>
  <si>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</si>
  <si>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</si>
  <si>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</si>
  <si>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</si>
  <si>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</si>
  <si>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</si>
  <si>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</si>
  <si>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</si>
  <si>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</si>
  <si>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</si>
  <si>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</si>
  <si>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</si>
  <si>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</si>
  <si>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</si>
  <si>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</si>
  <si>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</si>
  <si>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</si>
  <si>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</si>
  <si>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</si>
  <si>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</si>
  <si>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</si>
  <si>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</si>
  <si>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</si>
  <si>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</si>
  <si>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</si>
  <si>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</si>
  <si>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</si>
  <si>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</si>
  <si>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</si>
  <si>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</si>
  <si>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</si>
  <si>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</si>
  <si>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</si>
  <si>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</si>
  <si>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</si>
  <si>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</si>
  <si>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</si>
  <si>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</si>
  <si>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</si>
  <si>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</si>
  <si>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</si>
  <si>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</si>
  <si>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</si>
  <si>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</si>
  <si>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</si>
  <si>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</si>
  <si>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</si>
  <si>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</si>
  <si>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</si>
  <si>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</si>
  <si>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</si>
  <si>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</si>
  <si>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</si>
  <si>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</si>
  <si>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</si>
  <si>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</si>
  <si>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</si>
  <si>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</si>
  <si>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</si>
  <si>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</si>
  <si>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</si>
  <si>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</si>
  <si>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</si>
  <si>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</si>
  <si>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</si>
  <si>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</si>
  <si>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</si>
  <si>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</si>
  <si>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</si>
  <si>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</si>
  <si>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</si>
  <si>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</si>
  <si>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</si>
  <si>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</si>
  <si>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</si>
  <si>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</si>
  <si>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</si>
  <si>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</si>
  <si>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</si>
  <si>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</si>
  <si>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</si>
  <si>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</si>
  <si>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</si>
  <si>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</si>
  <si>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</si>
  <si>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</si>
  <si>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</si>
  <si>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</si>
  <si>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</si>
  <si>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</si>
  <si>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</si>
  <si>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</si>
  <si>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</si>
  <si>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</si>
  <si>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</si>
  <si>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</si>
  <si>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</si>
  <si>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</si>
  <si>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</si>
  <si>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</si>
  <si>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</si>
  <si>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</si>
  <si>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</si>
  <si>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</si>
  <si>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</si>
  <si>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</si>
  <si>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</si>
  <si>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</si>
  <si>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</si>
  <si>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</si>
  <si>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</si>
  <si>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</si>
  <si>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</si>
  <si>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</si>
  <si>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</si>
  <si>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</si>
  <si>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</si>
  <si>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</si>
  <si>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</si>
  <si>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</si>
  <si>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</si>
  <si>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</si>
  <si>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</si>
  <si>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</si>
  <si>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</si>
  <si>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</si>
  <si>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</si>
  <si>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</si>
  <si>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</si>
  <si>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</si>
  <si>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</si>
  <si>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</si>
  <si>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</si>
  <si>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</si>
  <si>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</si>
  <si>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</si>
  <si>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</si>
  <si>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</si>
  <si>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</si>
  <si>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</si>
  <si>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</si>
  <si>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</si>
  <si>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</si>
  <si>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</si>
  <si>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</si>
  <si>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</si>
  <si>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</si>
  <si>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</si>
  <si>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</si>
  <si>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</si>
  <si>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</si>
  <si>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</si>
  <si>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</si>
  <si>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</si>
  <si>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</si>
  <si>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</si>
  <si>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</si>
  <si>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</si>
  <si>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</si>
  <si>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</si>
  <si>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</si>
  <si>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</si>
  <si>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</si>
  <si>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</si>
  <si>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</si>
  <si>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</si>
  <si>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</si>
  <si>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</si>
  <si>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</si>
  <si>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</si>
  <si>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</si>
  <si>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</si>
  <si>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</si>
  <si>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</si>
  <si>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</si>
  <si>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</si>
  <si>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</si>
  <si>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</si>
  <si>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</si>
  <si>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</si>
  <si>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</si>
  <si>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</si>
  <si>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</si>
  <si>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</si>
  <si>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</si>
  <si>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</si>
  <si>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</si>
  <si>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</si>
  <si>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</si>
  <si>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</si>
  <si>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</si>
  <si>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</si>
  <si>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</si>
  <si>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</si>
  <si>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</si>
  <si>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</si>
  <si>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</si>
  <si>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</si>
  <si>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</si>
  <si>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</si>
  <si>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</si>
  <si>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</si>
  <si>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</si>
  <si>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</si>
  <si>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</si>
  <si>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</si>
  <si>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</si>
  <si>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</si>
  <si>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</si>
  <si>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</si>
  <si>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Byggemodninger 2023</t>
  </si>
  <si>
    <t>Åbent Land Kloakering</t>
  </si>
  <si>
    <t>Ingen engangstillæg</t>
  </si>
  <si>
    <t>Spildevandsafgift</t>
  </si>
  <si>
    <t>Afgift til Forsyningssekretariatet</t>
  </si>
  <si>
    <t>Køb af ydelser og produkter fra andre vandselskaber reguleret af vandsektorloven</t>
  </si>
  <si>
    <t>Ejendomsskatter</t>
  </si>
  <si>
    <t>Erstatninger</t>
  </si>
  <si>
    <t>Øvrige afgifter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</si>
</sst>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1">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1" fontId="8" fillId="8" borderId="2" xfId="1" quotePrefix="1" applyNumberFormat="1" applyFont="1" applyFill="1" applyBorder="1" applyAlignment="1" applyProtection="1">
      <alignment horizontal="righ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7" t="s">
        <v>4</v>
      </c>
      <c r="D6" s="87"/>
      <c r="E6" s="87"/>
      <c r="F6" s="87"/>
      <c r="G6" s="3"/>
    </row>
    <row r="7" spans="1:7" ht="15" customHeight="1" x14ac:dyDescent="0.25">
      <c r="A7" s="1"/>
      <c r="B7" s="3"/>
      <c r="C7" s="87"/>
      <c r="D7" s="87"/>
      <c r="E7" s="87"/>
      <c r="F7" s="87"/>
      <c r="G7" s="3"/>
    </row>
    <row r="8" spans="1:7" ht="15.75" x14ac:dyDescent="0.25">
      <c r="A8" s="1"/>
      <c r="B8" s="4"/>
      <c r="C8" s="95" t="s">
        <v>228</v>
      </c>
      <c r="D8" s="95"/>
      <c r="E8" s="95"/>
      <c r="F8" s="95"/>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4" t="s">
        <v>5</v>
      </c>
      <c r="D11" s="94"/>
      <c r="E11" s="94"/>
      <c r="F11" s="94"/>
      <c r="G11" s="5"/>
    </row>
    <row r="12" spans="1:7" x14ac:dyDescent="0.25">
      <c r="A12" s="1"/>
      <c r="B12" s="1"/>
      <c r="C12" s="1"/>
      <c r="D12" s="1"/>
      <c r="E12" s="1"/>
      <c r="F12" s="1"/>
      <c r="G12" s="5"/>
    </row>
    <row r="13" spans="1:7" x14ac:dyDescent="0.25">
      <c r="A13" s="1"/>
      <c r="B13" s="6" t="s">
        <v>6</v>
      </c>
      <c r="C13" s="99" t="s">
        <v>127</v>
      </c>
      <c r="D13" s="100"/>
      <c r="E13" s="100"/>
      <c r="F13" s="101"/>
      <c r="G13" s="5"/>
    </row>
    <row r="14" spans="1:7" x14ac:dyDescent="0.25">
      <c r="A14" s="1"/>
      <c r="B14" s="6" t="s">
        <v>16</v>
      </c>
      <c r="C14" s="84" t="s">
        <v>186</v>
      </c>
      <c r="D14" s="85"/>
      <c r="E14" s="85"/>
      <c r="F14" s="86"/>
      <c r="G14" s="5"/>
    </row>
    <row r="15" spans="1:7" x14ac:dyDescent="0.25">
      <c r="A15" s="1"/>
      <c r="B15" s="6" t="s">
        <v>30</v>
      </c>
      <c r="C15" s="84" t="s">
        <v>149</v>
      </c>
      <c r="D15" s="85"/>
      <c r="E15" s="85"/>
      <c r="F15" s="86"/>
      <c r="G15" s="5"/>
    </row>
    <row r="16" spans="1:7" x14ac:dyDescent="0.25">
      <c r="A16" s="1"/>
      <c r="B16" s="6" t="s">
        <v>31</v>
      </c>
      <c r="C16" s="84" t="s">
        <v>151</v>
      </c>
      <c r="D16" s="85"/>
      <c r="E16" s="85"/>
      <c r="F16" s="86"/>
      <c r="G16" s="5"/>
    </row>
    <row r="17" spans="1:8" x14ac:dyDescent="0.25">
      <c r="A17" s="1"/>
      <c r="B17" s="6" t="s">
        <v>61</v>
      </c>
      <c r="C17" s="84" t="s">
        <v>152</v>
      </c>
      <c r="D17" s="85"/>
      <c r="E17" s="85"/>
      <c r="F17" s="86"/>
      <c r="G17" s="5"/>
    </row>
    <row r="18" spans="1:8" x14ac:dyDescent="0.25">
      <c r="A18" s="1"/>
      <c r="B18" s="6" t="s">
        <v>53</v>
      </c>
      <c r="C18" s="96" t="s">
        <v>45</v>
      </c>
      <c r="D18" s="97"/>
      <c r="E18" s="97"/>
      <c r="F18" s="98"/>
      <c r="G18" s="5"/>
    </row>
    <row r="19" spans="1:8" x14ac:dyDescent="0.25">
      <c r="A19" s="1"/>
      <c r="B19" s="6" t="s">
        <v>54</v>
      </c>
      <c r="C19" s="96" t="s">
        <v>46</v>
      </c>
      <c r="D19" s="97"/>
      <c r="E19" s="97"/>
      <c r="F19" s="98"/>
      <c r="G19" s="5"/>
    </row>
    <row r="20" spans="1:8" x14ac:dyDescent="0.25">
      <c r="A20" s="1"/>
      <c r="B20" s="6" t="s">
        <v>7</v>
      </c>
      <c r="C20" s="96" t="s">
        <v>10</v>
      </c>
      <c r="D20" s="97"/>
      <c r="E20" s="97"/>
      <c r="F20" s="98"/>
      <c r="G20" s="5"/>
    </row>
    <row r="21" spans="1:8" x14ac:dyDescent="0.25">
      <c r="A21" s="1"/>
      <c r="B21" s="6" t="s">
        <v>55</v>
      </c>
      <c r="C21" s="88" t="s">
        <v>12</v>
      </c>
      <c r="D21" s="89"/>
      <c r="E21" s="89"/>
      <c r="F21" s="90"/>
      <c r="G21" s="5"/>
    </row>
    <row r="22" spans="1:8" x14ac:dyDescent="0.25">
      <c r="A22" s="1"/>
      <c r="B22" s="6" t="s">
        <v>39</v>
      </c>
      <c r="C22" s="91" t="s">
        <v>153</v>
      </c>
      <c r="D22" s="92"/>
      <c r="E22" s="92"/>
      <c r="F22" s="93"/>
      <c r="G22" s="5"/>
    </row>
    <row r="23" spans="1:8" x14ac:dyDescent="0.25">
      <c r="A23" s="1"/>
      <c r="B23" s="6" t="s">
        <v>8</v>
      </c>
      <c r="C23" s="91" t="s">
        <v>112</v>
      </c>
      <c r="D23" s="92"/>
      <c r="E23" s="92"/>
      <c r="F23" s="93"/>
      <c r="G23" s="5"/>
    </row>
    <row r="24" spans="1:8" x14ac:dyDescent="0.25">
      <c r="A24" s="1"/>
      <c r="B24" s="6" t="s">
        <v>9</v>
      </c>
      <c r="C24" s="91" t="s">
        <v>154</v>
      </c>
      <c r="D24" s="92"/>
      <c r="E24" s="92"/>
      <c r="F24" s="93"/>
      <c r="G24" s="5"/>
    </row>
    <row r="25" spans="1:8" x14ac:dyDescent="0.25">
      <c r="A25" s="1"/>
      <c r="B25" s="6" t="s">
        <v>97</v>
      </c>
      <c r="C25" s="91" t="s">
        <v>91</v>
      </c>
      <c r="D25" s="92"/>
      <c r="E25" s="92"/>
      <c r="F25" s="93"/>
      <c r="G25" s="1"/>
    </row>
    <row r="26" spans="1:8" x14ac:dyDescent="0.25">
      <c r="A26" s="1"/>
      <c r="B26" s="6" t="s">
        <v>98</v>
      </c>
      <c r="C26" s="91" t="s">
        <v>40</v>
      </c>
      <c r="D26" s="92"/>
      <c r="E26" s="92"/>
      <c r="F26" s="93"/>
      <c r="G26" s="1"/>
    </row>
    <row r="27" spans="1:8" x14ac:dyDescent="0.25">
      <c r="A27" s="1"/>
      <c r="B27" s="6" t="s">
        <v>99</v>
      </c>
      <c r="C27" s="91" t="s">
        <v>41</v>
      </c>
      <c r="D27" s="92"/>
      <c r="E27" s="92"/>
      <c r="F27" s="93"/>
      <c r="G27" s="1"/>
    </row>
    <row r="28" spans="1:8" x14ac:dyDescent="0.25">
      <c r="A28" s="1"/>
      <c r="B28" s="6" t="s">
        <v>15</v>
      </c>
      <c r="C28" s="91" t="s">
        <v>42</v>
      </c>
      <c r="D28" s="92"/>
      <c r="E28" s="92"/>
      <c r="F28" s="93"/>
      <c r="G28" s="1"/>
      <c r="H28" s="2" t="s">
        <v>150</v>
      </c>
    </row>
    <row r="29" spans="1:8" x14ac:dyDescent="0.25">
      <c r="A29" s="1"/>
      <c r="B29" s="6" t="s">
        <v>33</v>
      </c>
      <c r="C29" s="91" t="s">
        <v>68</v>
      </c>
      <c r="D29" s="92"/>
      <c r="E29" s="92"/>
      <c r="F29" s="93"/>
      <c r="G29" s="1"/>
    </row>
    <row r="30" spans="1:8" x14ac:dyDescent="0.25">
      <c r="A30" s="1"/>
      <c r="B30" s="6" t="s">
        <v>34</v>
      </c>
      <c r="C30" s="91" t="s">
        <v>32</v>
      </c>
      <c r="D30" s="92"/>
      <c r="E30" s="92"/>
      <c r="F30" s="93"/>
      <c r="G30" s="1"/>
    </row>
    <row r="31" spans="1:8" x14ac:dyDescent="0.25">
      <c r="A31" s="1"/>
      <c r="B31" s="6" t="s">
        <v>100</v>
      </c>
      <c r="C31" s="102" t="s">
        <v>52</v>
      </c>
      <c r="D31" s="103"/>
      <c r="E31" s="103"/>
      <c r="F31" s="104"/>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zWnquAktsJLEINeMf2EAlQwmkUlyGBsDmJEF3cN7XmghKtlA79W3TpIaHMCBoDtKcJsKFpMtfIh074p8jDDYjg==" saltValue="xJTZtjZIJ4btYmWqQXw06g==" spinCount="100000" sheet="1" objects="1" scenarios="1"/>
  <mergeCells count="22">
    <mergeCell ref="C30:F30"/>
    <mergeCell ref="C31:F31"/>
    <mergeCell ref="C18:F18"/>
    <mergeCell ref="C25:F25"/>
    <mergeCell ref="C26:F26"/>
    <mergeCell ref="C29:F29"/>
    <mergeCell ref="C27:F27"/>
    <mergeCell ref="C28:F28"/>
    <mergeCell ref="C24:F24"/>
    <mergeCell ref="C23:F23"/>
    <mergeCell ref="C14:F14"/>
    <mergeCell ref="C6:F7"/>
    <mergeCell ref="C21:F21"/>
    <mergeCell ref="C22:F22"/>
    <mergeCell ref="C11:F11"/>
    <mergeCell ref="C8:F8"/>
    <mergeCell ref="C15:F15"/>
    <mergeCell ref="C16:F16"/>
    <mergeCell ref="C19:F19"/>
    <mergeCell ref="C13:F13"/>
    <mergeCell ref="C17:F17"/>
    <mergeCell ref="C20:F20"/>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58</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9" t="s">
        <v>165</v>
      </c>
      <c r="C8" s="110"/>
      <c r="D8" s="111"/>
      <c r="E8" s="1"/>
    </row>
    <row r="9" spans="1:5" ht="15" customHeight="1" x14ac:dyDescent="0.25">
      <c r="A9" s="1"/>
      <c r="B9" s="27" t="s">
        <v>28</v>
      </c>
      <c r="C9" s="67" t="s">
        <v>166</v>
      </c>
      <c r="D9" s="11"/>
      <c r="E9" s="1"/>
    </row>
    <row r="10" spans="1:5" ht="15" customHeight="1" x14ac:dyDescent="0.25">
      <c r="A10" s="1"/>
      <c r="B10" s="72" t="s">
        <v>232</v>
      </c>
      <c r="C10" s="73">
        <v>2506332</v>
      </c>
      <c r="D10" s="14" t="s">
        <v>3</v>
      </c>
      <c r="E10" s="1"/>
    </row>
    <row r="11" spans="1:5" ht="15" customHeight="1" x14ac:dyDescent="0.25">
      <c r="A11" s="1"/>
      <c r="B11" s="72" t="s">
        <v>233</v>
      </c>
      <c r="C11" s="73">
        <v>108564</v>
      </c>
      <c r="D11" s="14" t="s">
        <v>3</v>
      </c>
      <c r="E11" s="1"/>
    </row>
    <row r="12" spans="1:5" ht="25.5" x14ac:dyDescent="0.25">
      <c r="A12" s="1"/>
      <c r="B12" s="72" t="s">
        <v>234</v>
      </c>
      <c r="C12" s="73">
        <v>509993.84</v>
      </c>
      <c r="D12" s="14" t="s">
        <v>3</v>
      </c>
      <c r="E12" s="1"/>
    </row>
    <row r="13" spans="1:5" x14ac:dyDescent="0.25">
      <c r="A13" s="1"/>
      <c r="B13" s="72" t="s">
        <v>235</v>
      </c>
      <c r="C13" s="73">
        <v>518639.35</v>
      </c>
      <c r="D13" s="14" t="s">
        <v>3</v>
      </c>
      <c r="E13" s="1"/>
    </row>
    <row r="14" spans="1:5" x14ac:dyDescent="0.25">
      <c r="A14" s="1"/>
      <c r="B14" s="72" t="s">
        <v>236</v>
      </c>
      <c r="C14" s="73">
        <v>496452</v>
      </c>
      <c r="D14" s="14" t="s">
        <v>3</v>
      </c>
      <c r="E14" s="1"/>
    </row>
    <row r="15" spans="1:5" x14ac:dyDescent="0.25">
      <c r="A15" s="1"/>
      <c r="B15" s="72" t="s">
        <v>237</v>
      </c>
      <c r="C15" s="73">
        <v>9572</v>
      </c>
      <c r="D15" s="14" t="s">
        <v>3</v>
      </c>
      <c r="E15" s="1"/>
    </row>
    <row r="16" spans="1:5" x14ac:dyDescent="0.25">
      <c r="A16" s="1"/>
      <c r="B16" s="72"/>
      <c r="C16" s="73"/>
      <c r="D16" s="14" t="s">
        <v>3</v>
      </c>
      <c r="E16" s="1"/>
    </row>
    <row r="17" spans="1:5" x14ac:dyDescent="0.25">
      <c r="A17" s="1"/>
      <c r="B17" s="72"/>
      <c r="C17" s="73"/>
      <c r="D17" s="14" t="s">
        <v>3</v>
      </c>
      <c r="E17" s="1"/>
    </row>
    <row r="18" spans="1:5" x14ac:dyDescent="0.25">
      <c r="A18" s="1"/>
      <c r="B18" s="72"/>
      <c r="C18" s="73"/>
      <c r="D18" s="14" t="s">
        <v>3</v>
      </c>
      <c r="E18" s="1"/>
    </row>
    <row r="19" spans="1:5" x14ac:dyDescent="0.25">
      <c r="A19" s="1"/>
      <c r="B19" s="72"/>
      <c r="C19" s="73"/>
      <c r="D19" s="14" t="s">
        <v>3</v>
      </c>
      <c r="E19" s="1"/>
    </row>
    <row r="20" spans="1:5" x14ac:dyDescent="0.25">
      <c r="A20" s="1"/>
      <c r="B20" s="33" t="s">
        <v>167</v>
      </c>
      <c r="C20" s="12">
        <f>SUM(C10:C19)</f>
        <v>4149553.19</v>
      </c>
      <c r="D20" s="13" t="s">
        <v>3</v>
      </c>
      <c r="E20" s="1"/>
    </row>
    <row r="21" spans="1:5" x14ac:dyDescent="0.25">
      <c r="A21" s="1"/>
      <c r="B21" s="33" t="s">
        <v>168</v>
      </c>
      <c r="C21" s="12">
        <f>C20*(1+'Fane 15. Nøgletal'!C10)^2</f>
        <v>4718024.0924557513</v>
      </c>
      <c r="D21" s="13" t="s">
        <v>3</v>
      </c>
      <c r="E21" s="1"/>
    </row>
    <row r="22" spans="1:5" x14ac:dyDescent="0.25">
      <c r="A22" s="1"/>
      <c r="B22" s="16"/>
      <c r="C22" s="15"/>
      <c r="D22" s="15"/>
      <c r="E22" s="1"/>
    </row>
    <row r="23" spans="1:5" x14ac:dyDescent="0.25">
      <c r="A23" s="1"/>
      <c r="B23" s="16"/>
      <c r="C23" s="15"/>
      <c r="D23" s="15"/>
      <c r="E23" s="1"/>
    </row>
    <row r="24" spans="1:5" x14ac:dyDescent="0.25">
      <c r="A24" s="1"/>
      <c r="B24" s="109" t="s">
        <v>60</v>
      </c>
      <c r="C24" s="110"/>
      <c r="D24" s="111"/>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9"/>
      <c r="C29" s="110"/>
      <c r="D29" s="111"/>
      <c r="E29" s="1"/>
    </row>
    <row r="30" spans="1:5" x14ac:dyDescent="0.25">
      <c r="A30" s="1"/>
      <c r="B30" s="1"/>
      <c r="C30" s="1"/>
      <c r="D30" s="1"/>
      <c r="E30" s="1"/>
    </row>
    <row r="31" spans="1:5" x14ac:dyDescent="0.25">
      <c r="A31" s="1"/>
      <c r="B31" s="1"/>
      <c r="C31" s="1"/>
      <c r="D31" s="1"/>
      <c r="E31" s="1"/>
    </row>
    <row r="32" spans="1:5" x14ac:dyDescent="0.25">
      <c r="A32" s="1"/>
      <c r="B32" s="109" t="s">
        <v>47</v>
      </c>
      <c r="C32" s="110"/>
      <c r="D32" s="111"/>
      <c r="E32" s="1"/>
    </row>
    <row r="33" spans="1:5" x14ac:dyDescent="0.25">
      <c r="A33" s="1"/>
      <c r="B33" s="37" t="s">
        <v>72</v>
      </c>
      <c r="C33" s="9">
        <v>2505342</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9"/>
      <c r="C37" s="110"/>
      <c r="D37" s="11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iS2MO/ElCtxzBd5Sr98YLbg38+Lv19axbP6jHuA2LkwsHzI8CWz8rOCvnBMFx4rN7DmCftfD+Qdjbay9vebg4Q==" saltValue="v731whXPrGaUmvfqgaSFaQ=="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201</v>
      </c>
      <c r="C3" s="108"/>
      <c r="D3" s="108"/>
      <c r="E3" s="1"/>
    </row>
    <row r="4" spans="1:5" ht="15" customHeight="1" x14ac:dyDescent="0.25">
      <c r="A4" s="1"/>
      <c r="B4" s="108"/>
      <c r="C4" s="108"/>
      <c r="D4" s="108"/>
      <c r="E4" s="1"/>
    </row>
    <row r="5" spans="1:5" ht="15" customHeight="1" x14ac:dyDescent="0.25">
      <c r="A5" s="1"/>
      <c r="B5" s="108"/>
      <c r="C5" s="108"/>
      <c r="D5" s="108"/>
      <c r="E5" s="1"/>
    </row>
    <row r="6" spans="1:5" ht="15" customHeight="1" x14ac:dyDescent="0.25">
      <c r="A6" s="1"/>
      <c r="B6" s="75"/>
      <c r="C6" s="75"/>
      <c r="D6" s="75"/>
      <c r="E6" s="1"/>
    </row>
    <row r="7" spans="1:5" x14ac:dyDescent="0.25">
      <c r="A7" s="1"/>
      <c r="B7" s="1"/>
      <c r="C7" s="1"/>
      <c r="D7" s="1"/>
      <c r="E7" s="1"/>
    </row>
    <row r="8" spans="1:5" x14ac:dyDescent="0.25">
      <c r="A8" s="1"/>
      <c r="B8" s="109" t="s">
        <v>77</v>
      </c>
      <c r="C8" s="110"/>
      <c r="D8" s="111"/>
      <c r="E8" s="1"/>
    </row>
    <row r="9" spans="1:5" x14ac:dyDescent="0.25">
      <c r="A9" s="1"/>
      <c r="B9" s="65" t="s">
        <v>204</v>
      </c>
      <c r="C9" s="9">
        <v>1676657.8947339058</v>
      </c>
      <c r="D9" s="14" t="s">
        <v>3</v>
      </c>
      <c r="E9" s="1"/>
    </row>
    <row r="10" spans="1:5" x14ac:dyDescent="0.25">
      <c r="A10" s="1"/>
      <c r="B10" s="33"/>
      <c r="C10" s="28"/>
      <c r="D10" s="19"/>
      <c r="E10" s="1"/>
    </row>
    <row r="11" spans="1:5" ht="53.25" customHeight="1" x14ac:dyDescent="0.25">
      <c r="A11" s="1"/>
      <c r="B11" s="120" t="s">
        <v>212</v>
      </c>
      <c r="C11" s="121"/>
      <c r="D11" s="122"/>
      <c r="E11" s="1"/>
    </row>
    <row r="12" spans="1:5" x14ac:dyDescent="0.25">
      <c r="A12" s="1"/>
      <c r="B12" s="1"/>
      <c r="C12" s="1"/>
      <c r="D12" s="1"/>
      <c r="E12" s="1"/>
    </row>
    <row r="13" spans="1:5" x14ac:dyDescent="0.25">
      <c r="A13" s="1"/>
      <c r="B13" s="109" t="s">
        <v>78</v>
      </c>
      <c r="C13" s="110"/>
      <c r="D13" s="111"/>
      <c r="E13" s="1"/>
    </row>
    <row r="14" spans="1:5" x14ac:dyDescent="0.25">
      <c r="A14" s="1"/>
      <c r="B14" s="65" t="s">
        <v>202</v>
      </c>
      <c r="C14" s="9">
        <v>-3010697.1266660243</v>
      </c>
      <c r="D14" s="14" t="s">
        <v>3</v>
      </c>
      <c r="E14" s="1"/>
    </row>
    <row r="15" spans="1:5" x14ac:dyDescent="0.25">
      <c r="A15" s="1"/>
      <c r="B15" s="65" t="s">
        <v>203</v>
      </c>
      <c r="C15" s="9">
        <v>-3010697.1266660243</v>
      </c>
      <c r="D15" s="14" t="s">
        <v>3</v>
      </c>
      <c r="E15" s="1"/>
    </row>
    <row r="16" spans="1:5" x14ac:dyDescent="0.25">
      <c r="A16" s="1"/>
      <c r="B16" s="33"/>
      <c r="C16" s="28"/>
      <c r="D16" s="19"/>
      <c r="E16" s="1"/>
    </row>
    <row r="17" spans="1:5" ht="29.25" customHeight="1" x14ac:dyDescent="0.25">
      <c r="A17" s="1"/>
      <c r="B17" s="120" t="s">
        <v>121</v>
      </c>
      <c r="C17" s="121"/>
      <c r="D17" s="122"/>
      <c r="E17" s="1"/>
    </row>
    <row r="18" spans="1:5" x14ac:dyDescent="0.25">
      <c r="A18" s="1"/>
      <c r="B18" s="1"/>
      <c r="C18" s="1"/>
      <c r="D18" s="1"/>
      <c r="E18" s="1"/>
    </row>
    <row r="19" spans="1:5" x14ac:dyDescent="0.25">
      <c r="A19" s="1"/>
      <c r="B19" s="76" t="s">
        <v>205</v>
      </c>
      <c r="C19" s="77"/>
      <c r="D19" s="78"/>
      <c r="E19" s="1"/>
    </row>
    <row r="20" spans="1:5" x14ac:dyDescent="0.25">
      <c r="A20" s="1"/>
      <c r="B20" s="65" t="s">
        <v>206</v>
      </c>
      <c r="C20" s="9">
        <v>151094690.83641878</v>
      </c>
      <c r="D20" s="14" t="s">
        <v>3</v>
      </c>
      <c r="E20" s="1"/>
    </row>
    <row r="21" spans="1:5" x14ac:dyDescent="0.25">
      <c r="A21" s="1"/>
      <c r="B21" s="65" t="s">
        <v>207</v>
      </c>
      <c r="C21" s="9">
        <v>141160190</v>
      </c>
      <c r="D21" s="14" t="s">
        <v>3</v>
      </c>
      <c r="E21" s="1"/>
    </row>
    <row r="22" spans="1:5" x14ac:dyDescent="0.25">
      <c r="A22" s="1"/>
      <c r="B22" s="65" t="s">
        <v>29</v>
      </c>
      <c r="C22" s="9">
        <v>0</v>
      </c>
      <c r="D22" s="14" t="s">
        <v>3</v>
      </c>
      <c r="E22" s="1"/>
    </row>
    <row r="23" spans="1:5" x14ac:dyDescent="0.25">
      <c r="A23" s="1"/>
      <c r="B23" s="82" t="s">
        <v>208</v>
      </c>
      <c r="C23" s="57">
        <f>C20-C21-C22</f>
        <v>9934500.8364187777</v>
      </c>
      <c r="D23" s="17" t="s">
        <v>3</v>
      </c>
      <c r="E23" s="1"/>
    </row>
    <row r="24" spans="1:5" x14ac:dyDescent="0.25">
      <c r="A24" s="1"/>
      <c r="B24" s="33"/>
      <c r="C24" s="28"/>
      <c r="D24" s="19"/>
      <c r="E24" s="1"/>
    </row>
    <row r="25" spans="1:5" x14ac:dyDescent="0.25">
      <c r="A25" s="1"/>
      <c r="B25" s="1"/>
      <c r="C25" s="1"/>
      <c r="D25" s="1"/>
      <c r="E25" s="1"/>
    </row>
    <row r="26" spans="1:5" x14ac:dyDescent="0.25">
      <c r="A26" s="1"/>
      <c r="B26" s="109" t="s">
        <v>209</v>
      </c>
      <c r="C26" s="110"/>
      <c r="D26" s="111"/>
      <c r="E26" s="1"/>
    </row>
    <row r="27" spans="1:5" x14ac:dyDescent="0.25">
      <c r="A27" s="1"/>
      <c r="B27" s="82" t="s">
        <v>210</v>
      </c>
      <c r="C27" s="57">
        <f>IF(AND(C15&lt;0,C23&gt;0,ABS(SUM(C14:C15))&lt;C23),ABS(C14),IF(AND(C15&lt;0,C23&gt;0,ABS(SUM(C14:C15))&gt;C23),SUM(C14,C23),C15))</f>
        <v>3010697.1266660243</v>
      </c>
      <c r="D27" s="17" t="s">
        <v>3</v>
      </c>
      <c r="E27" s="1"/>
    </row>
    <row r="28" spans="1:5" x14ac:dyDescent="0.25">
      <c r="A28" s="1"/>
      <c r="B28" s="109"/>
      <c r="C28" s="110"/>
      <c r="D28" s="111"/>
      <c r="E28" s="1"/>
    </row>
    <row r="29" spans="1:5" x14ac:dyDescent="0.25">
      <c r="A29" s="1"/>
      <c r="B29" s="1"/>
      <c r="C29" s="1"/>
      <c r="D29" s="1"/>
      <c r="E29" s="1"/>
    </row>
    <row r="30" spans="1:5" x14ac:dyDescent="0.25">
      <c r="A30" s="1"/>
      <c r="B30" s="109" t="s">
        <v>211</v>
      </c>
      <c r="C30" s="110"/>
      <c r="D30" s="111"/>
      <c r="E30" s="1"/>
    </row>
    <row r="31" spans="1:5" x14ac:dyDescent="0.25">
      <c r="A31" s="1"/>
      <c r="B31" s="66" t="s">
        <v>69</v>
      </c>
      <c r="C31" s="58">
        <f>IF(AND(C9&gt;0,(C9+C23)&gt;0),0,IF(AND(C9&gt;0,(C9+C23)&lt;0),(C9+C23),IF(AND(C9&lt;0,C23&lt;0),C23,0)))</f>
        <v>0</v>
      </c>
      <c r="D31" s="14" t="s">
        <v>3</v>
      </c>
      <c r="E31" s="1"/>
    </row>
    <row r="32" spans="1:5" x14ac:dyDescent="0.25">
      <c r="A32" s="1"/>
      <c r="B32" s="66" t="s">
        <v>49</v>
      </c>
      <c r="C32" s="9">
        <v>2</v>
      </c>
      <c r="D32" s="14" t="s">
        <v>20</v>
      </c>
      <c r="E32" s="1"/>
    </row>
    <row r="33" spans="1:5" x14ac:dyDescent="0.25">
      <c r="A33" s="1"/>
      <c r="B33" s="67" t="s">
        <v>70</v>
      </c>
      <c r="C33" s="57">
        <f>C31/C32</f>
        <v>0</v>
      </c>
      <c r="D33" s="17" t="s">
        <v>3</v>
      </c>
      <c r="E33" s="1"/>
    </row>
    <row r="34" spans="1:5" x14ac:dyDescent="0.25">
      <c r="A34" s="1"/>
      <c r="B34" s="117"/>
      <c r="C34" s="118"/>
      <c r="D34" s="119"/>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MzJzruuq0tjkcLJ4IPGPwcuCzBg5gy8EbyEXXfg+WM72tbEIK00u2CW4MrsVVvR0/Sfkm1OjyRp92qPG4zMmIQ==" saltValue="JVemRvgNdCAJz3PYrzaa/Q=="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8" t="s">
        <v>101</v>
      </c>
      <c r="C3" s="108"/>
      <c r="D3" s="108"/>
      <c r="E3" s="1"/>
    </row>
    <row r="4" spans="1:5" ht="15" customHeight="1" x14ac:dyDescent="0.25">
      <c r="A4" s="1"/>
      <c r="B4" s="108"/>
      <c r="C4" s="108"/>
      <c r="D4" s="108"/>
      <c r="E4" s="1"/>
    </row>
    <row r="5" spans="1:5" x14ac:dyDescent="0.25">
      <c r="A5" s="1"/>
      <c r="B5" s="108"/>
      <c r="C5" s="108"/>
      <c r="D5" s="108"/>
      <c r="E5" s="1"/>
    </row>
    <row r="6" spans="1:5" x14ac:dyDescent="0.25">
      <c r="A6" s="1"/>
      <c r="B6" s="1"/>
      <c r="C6" s="1"/>
      <c r="D6" s="1"/>
      <c r="E6" s="1"/>
    </row>
    <row r="7" spans="1:5" x14ac:dyDescent="0.25">
      <c r="A7" s="1"/>
      <c r="B7" s="1"/>
      <c r="C7" s="1"/>
      <c r="D7" s="1"/>
      <c r="E7" s="1"/>
    </row>
    <row r="8" spans="1:5" x14ac:dyDescent="0.25">
      <c r="A8" s="1"/>
      <c r="B8" s="109" t="s">
        <v>120</v>
      </c>
      <c r="C8" s="110"/>
      <c r="D8" s="111"/>
      <c r="E8" s="1"/>
    </row>
    <row r="9" spans="1:5" ht="15" customHeight="1" x14ac:dyDescent="0.25">
      <c r="A9" s="1"/>
      <c r="B9" s="123" t="s">
        <v>102</v>
      </c>
      <c r="C9" s="124"/>
      <c r="D9" s="125"/>
      <c r="E9" s="1"/>
    </row>
    <row r="10" spans="1:5" x14ac:dyDescent="0.25">
      <c r="A10" s="1"/>
      <c r="B10" s="68" t="s">
        <v>103</v>
      </c>
      <c r="C10" s="9"/>
      <c r="D10" s="9" t="s">
        <v>3</v>
      </c>
      <c r="E10" s="1"/>
    </row>
    <row r="11" spans="1:5" x14ac:dyDescent="0.25">
      <c r="A11" s="1"/>
      <c r="B11" s="68" t="s">
        <v>104</v>
      </c>
      <c r="C11" s="9"/>
      <c r="D11" s="9" t="s">
        <v>3</v>
      </c>
      <c r="E11" s="1"/>
    </row>
    <row r="12" spans="1:5" x14ac:dyDescent="0.25">
      <c r="A12" s="1"/>
      <c r="B12" s="68" t="s">
        <v>105</v>
      </c>
      <c r="C12" s="9"/>
      <c r="D12" s="9" t="s">
        <v>3</v>
      </c>
      <c r="E12" s="1"/>
    </row>
    <row r="13" spans="1:5" x14ac:dyDescent="0.25">
      <c r="A13" s="1"/>
      <c r="B13" s="68" t="s">
        <v>106</v>
      </c>
      <c r="C13" s="9"/>
      <c r="D13" s="9" t="s">
        <v>3</v>
      </c>
      <c r="E13" s="1"/>
    </row>
    <row r="14" spans="1:5" x14ac:dyDescent="0.25">
      <c r="A14" s="1"/>
      <c r="B14" s="68" t="s">
        <v>107</v>
      </c>
      <c r="C14" s="9"/>
      <c r="D14" s="9" t="s">
        <v>3</v>
      </c>
      <c r="E14" s="1"/>
    </row>
    <row r="15" spans="1:5" x14ac:dyDescent="0.25">
      <c r="A15" s="1"/>
      <c r="B15" s="68" t="s">
        <v>108</v>
      </c>
      <c r="C15" s="9"/>
      <c r="D15" s="9" t="s">
        <v>3</v>
      </c>
      <c r="E15" s="1"/>
    </row>
    <row r="16" spans="1:5" x14ac:dyDescent="0.25">
      <c r="A16" s="1"/>
      <c r="B16" s="68" t="s">
        <v>109</v>
      </c>
      <c r="C16" s="9"/>
      <c r="D16" s="9" t="s">
        <v>3</v>
      </c>
      <c r="E16" s="1"/>
    </row>
    <row r="17" spans="1:5" x14ac:dyDescent="0.25">
      <c r="A17" s="1"/>
      <c r="B17" s="68" t="s">
        <v>110</v>
      </c>
      <c r="C17" s="9"/>
      <c r="D17" s="9" t="s">
        <v>3</v>
      </c>
      <c r="E17" s="1"/>
    </row>
    <row r="18" spans="1:5" x14ac:dyDescent="0.25">
      <c r="A18" s="1"/>
      <c r="B18" s="76"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ys+8m1X2Iomphgt7UnM5nAJd8CTQFAoVvKwbMLDE3OEEHEnB9E3wkiW+YdXKVYu6MJJQrE/lGsq5RFF+E3ppPw==" saltValue="ZQWk9twFAdjydx8IF/slkw=="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170</v>
      </c>
      <c r="C3" s="108"/>
      <c r="D3" s="108"/>
      <c r="E3" s="1"/>
    </row>
    <row r="4" spans="1:5" ht="15" customHeight="1" x14ac:dyDescent="0.25">
      <c r="A4" s="1"/>
      <c r="B4" s="108"/>
      <c r="C4" s="108"/>
      <c r="D4" s="108"/>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9" t="s">
        <v>171</v>
      </c>
      <c r="C8" s="110"/>
      <c r="D8" s="111"/>
      <c r="E8" s="1"/>
    </row>
    <row r="9" spans="1:5" ht="26.25" x14ac:dyDescent="0.25">
      <c r="A9" s="1"/>
      <c r="B9" s="79" t="s">
        <v>217</v>
      </c>
      <c r="C9" s="7">
        <v>0</v>
      </c>
      <c r="D9" s="8" t="s">
        <v>3</v>
      </c>
      <c r="E9" s="1"/>
    </row>
    <row r="10" spans="1:5" ht="14.25" customHeight="1" x14ac:dyDescent="0.25">
      <c r="A10" s="1"/>
      <c r="B10" s="65" t="s">
        <v>172</v>
      </c>
      <c r="C10" s="7">
        <v>0</v>
      </c>
      <c r="D10" s="8" t="s">
        <v>3</v>
      </c>
      <c r="E10" s="1"/>
    </row>
    <row r="11" spans="1:5" ht="14.25" customHeight="1" x14ac:dyDescent="0.25">
      <c r="A11" s="1"/>
      <c r="B11" s="82" t="s">
        <v>48</v>
      </c>
      <c r="C11" s="10">
        <f>C10-C9</f>
        <v>0</v>
      </c>
      <c r="D11" s="11" t="s">
        <v>3</v>
      </c>
      <c r="E11" s="1"/>
    </row>
    <row r="12" spans="1:5" ht="14.25" customHeight="1" x14ac:dyDescent="0.25">
      <c r="A12" s="1"/>
      <c r="B12" s="109" t="s">
        <v>219</v>
      </c>
      <c r="C12" s="110"/>
      <c r="D12" s="111"/>
      <c r="E12" s="1"/>
    </row>
    <row r="13" spans="1:5" ht="26.25" x14ac:dyDescent="0.25">
      <c r="A13" s="1"/>
      <c r="B13" s="79" t="s">
        <v>218</v>
      </c>
      <c r="C13" s="7">
        <v>0</v>
      </c>
      <c r="D13" s="8" t="s">
        <v>3</v>
      </c>
      <c r="E13" s="1"/>
    </row>
    <row r="14" spans="1:5" ht="14.25" customHeight="1" x14ac:dyDescent="0.25">
      <c r="A14" s="1"/>
      <c r="B14" s="65" t="s">
        <v>173</v>
      </c>
      <c r="C14" s="7">
        <v>0</v>
      </c>
      <c r="D14" s="8" t="s">
        <v>3</v>
      </c>
      <c r="E14" s="1"/>
    </row>
    <row r="15" spans="1:5" ht="14.25" customHeight="1" x14ac:dyDescent="0.25">
      <c r="A15" s="1"/>
      <c r="B15" s="82"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OjEJdIaP4Xeh8NoQ60muaWTJStCLZlYKOHYdZxGBXFR2iqA6eZ3ByX4c8uzoKLKT9tZmJll/MZY0OpdEs+Ugsw==" saltValue="D4i+J6Q5997DDN0u0ZH9QA=="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5" t="s">
        <v>113</v>
      </c>
      <c r="C3" s="105"/>
      <c r="D3" s="105"/>
      <c r="E3" s="105"/>
      <c r="F3" s="105"/>
      <c r="G3" s="105"/>
      <c r="H3" s="105"/>
      <c r="I3" s="105"/>
      <c r="J3" s="105"/>
      <c r="K3" s="105"/>
      <c r="L3" s="1"/>
    </row>
    <row r="4" spans="1:12" ht="15" customHeight="1" x14ac:dyDescent="0.25">
      <c r="A4" s="1"/>
      <c r="B4" s="105"/>
      <c r="C4" s="105"/>
      <c r="D4" s="105"/>
      <c r="E4" s="105"/>
      <c r="F4" s="105"/>
      <c r="G4" s="105"/>
      <c r="H4" s="105"/>
      <c r="I4" s="105"/>
      <c r="J4" s="105"/>
      <c r="K4" s="10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9" t="s">
        <v>86</v>
      </c>
      <c r="C8" s="110"/>
      <c r="D8" s="110"/>
      <c r="E8" s="110"/>
      <c r="F8" s="110"/>
      <c r="G8" s="110"/>
      <c r="H8" s="110"/>
      <c r="I8" s="110"/>
      <c r="J8" s="110"/>
      <c r="K8" s="111"/>
      <c r="L8" s="1"/>
    </row>
    <row r="9" spans="1:12" ht="39.75" customHeight="1" x14ac:dyDescent="0.25">
      <c r="A9" s="1"/>
      <c r="B9" s="18" t="s">
        <v>0</v>
      </c>
      <c r="C9" s="18" t="s">
        <v>1</v>
      </c>
      <c r="D9" s="126" t="s">
        <v>96</v>
      </c>
      <c r="E9" s="127"/>
      <c r="F9" s="126" t="s">
        <v>2</v>
      </c>
      <c r="G9" s="127"/>
      <c r="H9" s="126" t="s">
        <v>95</v>
      </c>
      <c r="I9" s="127"/>
      <c r="J9" s="126" t="s">
        <v>26</v>
      </c>
      <c r="K9" s="127"/>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6" t="s">
        <v>221</v>
      </c>
      <c r="C11" s="77"/>
      <c r="D11" s="78"/>
      <c r="E11" s="78"/>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HQGiS7gApaUui62AZdxIVwNQ1AsybMw+GdkJrKpw+QP/ZW8PDH5SJVFpETIUCWS23n/utDdVPxzF3lSRFK2UeQ==" saltValue="A5Nd+Be9sDdIKe6EXpIoA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114</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0" t="s">
        <v>17</v>
      </c>
      <c r="C9" s="82" t="s">
        <v>11</v>
      </c>
      <c r="D9" s="81"/>
      <c r="E9" s="82"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229</v>
      </c>
      <c r="C11" s="21">
        <v>638973</v>
      </c>
      <c r="D11" s="14" t="s">
        <v>3</v>
      </c>
      <c r="E11" s="9">
        <v>372164</v>
      </c>
      <c r="F11" s="14" t="s">
        <v>3</v>
      </c>
      <c r="G11" s="1"/>
    </row>
    <row r="12" spans="1:7" x14ac:dyDescent="0.25">
      <c r="A12" s="1"/>
      <c r="B12" s="24" t="s">
        <v>230</v>
      </c>
      <c r="C12" s="21">
        <v>212991</v>
      </c>
      <c r="D12" s="14" t="s">
        <v>3</v>
      </c>
      <c r="E12" s="9">
        <v>73916</v>
      </c>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851964</v>
      </c>
      <c r="D19" s="13" t="s">
        <v>3</v>
      </c>
      <c r="E19" s="12">
        <f>SUM(E10:E18)</f>
        <v>446080</v>
      </c>
      <c r="F19" s="13" t="s">
        <v>3</v>
      </c>
      <c r="G19" s="1"/>
    </row>
    <row r="20" spans="1:7" x14ac:dyDescent="0.25">
      <c r="A20" s="1"/>
      <c r="B20" s="33" t="s">
        <v>175</v>
      </c>
      <c r="C20" s="12">
        <f>C19*(1+'Fane 15. Nøgletal'!C10)</f>
        <v>908449.2132</v>
      </c>
      <c r="D20" s="13" t="s">
        <v>3</v>
      </c>
      <c r="E20" s="12">
        <f>E19*(1+'Fane 15. Nøgletal'!C10)</f>
        <v>475655.10399999999</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AewtljQEltORCcs8lJ1oDrjn8xx11f8t7zMnTeRqkiw4ubizbOpdCip4IEyWoeNbGLPe8d+MrE8Ao7ds/jMg+A==" saltValue="dp5Pl7oJ8eBd4+VPVGU/l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115</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9" t="s">
        <v>176</v>
      </c>
      <c r="C8" s="110"/>
      <c r="D8" s="110"/>
      <c r="E8" s="110"/>
      <c r="F8" s="111"/>
      <c r="G8" s="1"/>
    </row>
    <row r="9" spans="1:7" x14ac:dyDescent="0.25">
      <c r="A9" s="1"/>
      <c r="B9" s="80" t="s">
        <v>17</v>
      </c>
      <c r="C9" s="82" t="s">
        <v>11</v>
      </c>
      <c r="D9" s="81"/>
      <c r="E9" s="82" t="s">
        <v>27</v>
      </c>
      <c r="F9" s="32"/>
      <c r="G9" s="1"/>
    </row>
    <row r="10" spans="1:7" x14ac:dyDescent="0.25">
      <c r="A10" s="1"/>
      <c r="B10" s="24" t="s">
        <v>229</v>
      </c>
      <c r="C10" s="21">
        <v>0</v>
      </c>
      <c r="D10" s="14" t="s">
        <v>3</v>
      </c>
      <c r="E10" s="9">
        <v>740384</v>
      </c>
      <c r="F10" s="14" t="s">
        <v>3</v>
      </c>
      <c r="G10" s="1"/>
    </row>
    <row r="11" spans="1:7" x14ac:dyDescent="0.25">
      <c r="A11" s="1"/>
      <c r="B11" s="24" t="s">
        <v>231</v>
      </c>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0</v>
      </c>
      <c r="D13" s="13" t="s">
        <v>3</v>
      </c>
      <c r="E13" s="12">
        <f>SUM(E10:E12)</f>
        <v>740384</v>
      </c>
      <c r="F13" s="13" t="s">
        <v>3</v>
      </c>
      <c r="G13" s="1"/>
    </row>
    <row r="14" spans="1:7" x14ac:dyDescent="0.25">
      <c r="A14" s="1"/>
      <c r="B14" s="33" t="s">
        <v>178</v>
      </c>
      <c r="C14" s="12">
        <f>C13*(1+'Fane 15. Nøgletal'!C10)^2</f>
        <v>0</v>
      </c>
      <c r="D14" s="13" t="s">
        <v>3</v>
      </c>
      <c r="E14" s="12">
        <f>E13*(1+'Fane 15. Nøgletal'!C10)^2</f>
        <v>841813.41694496002</v>
      </c>
      <c r="F14" s="13" t="s">
        <v>3</v>
      </c>
      <c r="G14" s="1"/>
    </row>
    <row r="15" spans="1:7" x14ac:dyDescent="0.25">
      <c r="A15" s="1"/>
      <c r="B15" s="1"/>
      <c r="C15" s="1"/>
      <c r="D15" s="1"/>
      <c r="E15" s="1"/>
      <c r="F15" s="1"/>
      <c r="G15" s="1"/>
    </row>
    <row r="16" spans="1:7" x14ac:dyDescent="0.25">
      <c r="A16" s="1"/>
      <c r="B16" s="128"/>
      <c r="C16" s="128"/>
      <c r="D16" s="128"/>
      <c r="E16" s="128"/>
      <c r="F16" s="128"/>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8"/>
      <c r="C29" s="128"/>
      <c r="D29" s="128"/>
      <c r="E29" s="128"/>
      <c r="F29" s="128"/>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fCoyxTcOEjVod9BK7YwETjbj241mXxCao5ALZxNWAB31SI1ZFEmRCCF5FNvzLkkfgrdVdp7r4LelLA4Lbx63A==" saltValue="FXtbAF93YcW7t5azlIRZPw=="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8" t="s">
        <v>116</v>
      </c>
      <c r="C3" s="108"/>
      <c r="D3" s="108"/>
      <c r="E3" s="1"/>
    </row>
    <row r="4" spans="1:5" ht="15" customHeight="1" x14ac:dyDescent="0.25">
      <c r="A4" s="1"/>
      <c r="B4" s="108"/>
      <c r="C4" s="108"/>
      <c r="D4" s="108"/>
      <c r="E4" s="1"/>
    </row>
    <row r="5" spans="1:5" x14ac:dyDescent="0.25">
      <c r="A5" s="1"/>
      <c r="B5" s="108"/>
      <c r="C5" s="108"/>
      <c r="D5" s="108"/>
      <c r="E5" s="1"/>
    </row>
    <row r="6" spans="1:5" x14ac:dyDescent="0.25">
      <c r="A6" s="1"/>
      <c r="B6" s="1"/>
      <c r="C6" s="1"/>
      <c r="D6" s="1"/>
      <c r="E6" s="1"/>
    </row>
    <row r="7" spans="1:5" x14ac:dyDescent="0.25">
      <c r="A7" s="1"/>
      <c r="B7" s="1"/>
      <c r="C7" s="1"/>
      <c r="D7" s="1"/>
      <c r="E7" s="1"/>
    </row>
    <row r="8" spans="1:5" ht="14.25" customHeight="1" x14ac:dyDescent="0.25">
      <c r="A8" s="1"/>
      <c r="B8" s="109" t="s">
        <v>73</v>
      </c>
      <c r="C8" s="110"/>
      <c r="D8" s="111"/>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6" t="s">
        <v>74</v>
      </c>
      <c r="C12" s="12">
        <f>SUM(C9:C11)*(1+'Fane 15. Nøgletal'!C9)^2</f>
        <v>0</v>
      </c>
      <c r="D12" s="13" t="s">
        <v>3</v>
      </c>
      <c r="E12" s="1"/>
    </row>
    <row r="13" spans="1:5" x14ac:dyDescent="0.25">
      <c r="A13" s="1"/>
      <c r="B13" s="1"/>
      <c r="C13" s="1"/>
      <c r="D13" s="1"/>
      <c r="E13" s="1"/>
    </row>
    <row r="14" spans="1:5" ht="15" customHeight="1" x14ac:dyDescent="0.25">
      <c r="A14" s="1"/>
      <c r="B14" s="109" t="s">
        <v>84</v>
      </c>
      <c r="C14" s="110"/>
      <c r="D14" s="111"/>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6" t="s">
        <v>85</v>
      </c>
      <c r="C18" s="12">
        <f>SUM(C15:C17)*(1+'Fane 15. Nøgletal'!C10)^3</f>
        <v>0</v>
      </c>
      <c r="D18" s="13" t="s">
        <v>3</v>
      </c>
      <c r="E18" s="1"/>
    </row>
    <row r="19" spans="1:5" x14ac:dyDescent="0.25">
      <c r="A19" s="1"/>
      <c r="B19" s="1"/>
      <c r="C19" s="1"/>
      <c r="D19" s="1"/>
      <c r="E19" s="1"/>
    </row>
    <row r="20" spans="1:5" ht="15" customHeight="1" x14ac:dyDescent="0.25">
      <c r="A20" s="1"/>
      <c r="B20" s="109" t="s">
        <v>140</v>
      </c>
      <c r="C20" s="110"/>
      <c r="D20" s="111"/>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6" t="s">
        <v>141</v>
      </c>
      <c r="C24" s="12">
        <f>SUM(C21:C23)*(1+'Fane 15. Nøgletal'!C10)^4</f>
        <v>0</v>
      </c>
      <c r="D24" s="13" t="s">
        <v>3</v>
      </c>
      <c r="E24" s="1"/>
    </row>
    <row r="25" spans="1:5" x14ac:dyDescent="0.25">
      <c r="A25" s="1"/>
      <c r="B25" s="1"/>
      <c r="C25" s="1"/>
      <c r="D25" s="1"/>
      <c r="E25" s="1"/>
    </row>
    <row r="26" spans="1:5" ht="15" customHeight="1" x14ac:dyDescent="0.25">
      <c r="A26" s="1"/>
      <c r="B26" s="109" t="s">
        <v>180</v>
      </c>
      <c r="C26" s="110"/>
      <c r="D26" s="111"/>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6"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lOwWGEyWsoZVFx7gHGIoHDwUKXEvi1PP+SFbnGrYiIcUBOBwl1rJ3BuqP0vWBxnhYTkBANwuA2UCWoFMaFcK/Q==" saltValue="Jahlq7WRK/X4SDZHapGCQg=="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8" t="s">
        <v>117</v>
      </c>
      <c r="C3" s="108"/>
      <c r="D3" s="108"/>
      <c r="E3" s="108"/>
      <c r="F3" s="108"/>
      <c r="G3" s="1"/>
    </row>
    <row r="4" spans="1:7" ht="15" customHeight="1" x14ac:dyDescent="0.25">
      <c r="A4" s="1"/>
      <c r="B4" s="108"/>
      <c r="C4" s="108"/>
      <c r="D4" s="108"/>
      <c r="E4" s="108"/>
      <c r="F4" s="108"/>
      <c r="G4" s="1"/>
    </row>
    <row r="5" spans="1:7" x14ac:dyDescent="0.25">
      <c r="A5" s="1"/>
      <c r="B5" s="108"/>
      <c r="C5" s="108"/>
      <c r="D5" s="108"/>
      <c r="E5" s="108"/>
      <c r="F5" s="108"/>
      <c r="G5" s="1"/>
    </row>
    <row r="6" spans="1:7" x14ac:dyDescent="0.25">
      <c r="A6" s="1"/>
      <c r="B6" s="1"/>
      <c r="C6" s="1"/>
      <c r="D6" s="1"/>
      <c r="E6" s="1"/>
      <c r="F6" s="1"/>
      <c r="G6" s="1"/>
    </row>
    <row r="7" spans="1:7" x14ac:dyDescent="0.25">
      <c r="A7" s="1"/>
      <c r="B7" s="1"/>
      <c r="C7" s="1"/>
      <c r="D7" s="1"/>
      <c r="E7" s="1"/>
      <c r="F7" s="1"/>
      <c r="G7" s="1"/>
    </row>
    <row r="8" spans="1:7" x14ac:dyDescent="0.25">
      <c r="A8" s="1"/>
      <c r="B8" s="109" t="s">
        <v>66</v>
      </c>
      <c r="C8" s="110"/>
      <c r="D8" s="110"/>
      <c r="E8" s="110"/>
      <c r="F8" s="111"/>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oI9pM1BqAAhpO5g5PtchTbiKVNuv9q5Q1YanUqTLJwLQ1W2GbceexgfqtlgLOYZZMDXkB+lCUp+sogODtVuLGg==" saltValue="JSfNYubBLbFc/3IA5bvTfw=="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8" t="s">
        <v>118</v>
      </c>
      <c r="C3" s="108"/>
      <c r="D3" s="108"/>
      <c r="E3" s="108"/>
      <c r="F3" s="108"/>
      <c r="G3" s="1"/>
    </row>
    <row r="4" spans="1:7" ht="15" customHeight="1" x14ac:dyDescent="0.25">
      <c r="A4" s="1"/>
      <c r="B4" s="108"/>
      <c r="C4" s="108"/>
      <c r="D4" s="108"/>
      <c r="E4" s="108"/>
      <c r="F4" s="108"/>
      <c r="G4" s="1"/>
    </row>
    <row r="5" spans="1:7" x14ac:dyDescent="0.25">
      <c r="A5" s="1"/>
      <c r="B5" s="108"/>
      <c r="C5" s="108"/>
      <c r="D5" s="108"/>
      <c r="E5" s="108"/>
      <c r="F5" s="108"/>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9" t="s">
        <v>183</v>
      </c>
      <c r="C8" s="110"/>
      <c r="D8" s="110"/>
      <c r="E8" s="110"/>
      <c r="F8" s="111"/>
      <c r="G8" s="1"/>
    </row>
    <row r="9" spans="1:7" x14ac:dyDescent="0.25">
      <c r="A9" s="1"/>
      <c r="B9" s="31" t="s">
        <v>18</v>
      </c>
      <c r="C9" s="129" t="s">
        <v>11</v>
      </c>
      <c r="D9" s="130"/>
      <c r="E9" s="129" t="s">
        <v>27</v>
      </c>
      <c r="F9" s="130"/>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8"/>
      <c r="C14" s="128"/>
      <c r="D14" s="128"/>
      <c r="E14" s="128"/>
      <c r="F14" s="128"/>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8"/>
      <c r="C21" s="128"/>
      <c r="D21" s="128"/>
      <c r="E21" s="128"/>
      <c r="F21" s="128"/>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8"/>
      <c r="C27" s="128"/>
      <c r="D27" s="128"/>
      <c r="E27" s="128"/>
      <c r="F27" s="128"/>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FelU+h6X0eIspdwIt7SgJHkDMsfikqFyrINPa0vV0iXq7bXQ1ss1DG5a0aWgkRqHkd01uFwy1drklE2n0PPsbg==" saltValue="OiW+oV+s4AFo1etVI8uV6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155</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156607761.74370605</v>
      </c>
      <c r="D9" s="8" t="s">
        <v>3</v>
      </c>
      <c r="E9" s="1"/>
    </row>
    <row r="10" spans="1:5" ht="17.25" customHeight="1" x14ac:dyDescent="0.25">
      <c r="A10" s="1"/>
      <c r="B10" s="64" t="s">
        <v>35</v>
      </c>
      <c r="C10" s="7">
        <f>'Fane 11.1. Varige tillæg'!C20</f>
        <v>908449.2132</v>
      </c>
      <c r="D10" s="8" t="s">
        <v>3</v>
      </c>
      <c r="E10" s="1"/>
    </row>
    <row r="11" spans="1:5" ht="17.25" customHeight="1" x14ac:dyDescent="0.25">
      <c r="A11" s="1"/>
      <c r="B11" s="64" t="s">
        <v>36</v>
      </c>
      <c r="C11" s="9">
        <f>'Fane 11.1. Varige tillæg'!E20</f>
        <v>475655.10399999999</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12745673.265121808</v>
      </c>
      <c r="D16" s="8" t="s">
        <v>3</v>
      </c>
      <c r="E16" s="1"/>
    </row>
    <row r="17" spans="1:5" ht="17.25" customHeight="1" x14ac:dyDescent="0.25">
      <c r="A17" s="1"/>
      <c r="B17" s="64" t="s">
        <v>10</v>
      </c>
      <c r="C17" s="38">
        <f>-SUM(C9,C10:C16)*'Fane 5. Individuelt eff. krav'!C9</f>
        <v>0</v>
      </c>
      <c r="D17" s="8" t="s">
        <v>3</v>
      </c>
      <c r="E17" s="1"/>
    </row>
    <row r="18" spans="1:5" ht="17.25" customHeight="1" x14ac:dyDescent="0.25">
      <c r="A18" s="1"/>
      <c r="B18" s="64" t="s">
        <v>22</v>
      </c>
      <c r="C18" s="38">
        <f>-'Fane 4.1. Gen. krav - drift'!C17</f>
        <v>-1058193.0289018927</v>
      </c>
      <c r="D18" s="8" t="s">
        <v>3</v>
      </c>
      <c r="E18" s="1"/>
    </row>
    <row r="19" spans="1:5" ht="17.25" customHeight="1" x14ac:dyDescent="0.25">
      <c r="A19" s="1"/>
      <c r="B19" s="64" t="s">
        <v>23</v>
      </c>
      <c r="C19" s="38">
        <f>-'Fane 4.2. Gen. krav - anlæg'!C17</f>
        <v>0</v>
      </c>
      <c r="D19" s="8" t="s">
        <v>3</v>
      </c>
      <c r="E19" s="43"/>
    </row>
    <row r="20" spans="1:5" ht="17.25" customHeight="1" x14ac:dyDescent="0.25">
      <c r="A20" s="1"/>
      <c r="B20" s="82" t="s">
        <v>21</v>
      </c>
      <c r="C20" s="10">
        <f>SUM(C9:C19)</f>
        <v>169679346.29712597</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7223366.0924557513</v>
      </c>
      <c r="D22" s="11" t="s">
        <v>3</v>
      </c>
      <c r="E22" s="1"/>
    </row>
    <row r="23" spans="1:5" ht="15" customHeight="1" x14ac:dyDescent="0.25">
      <c r="A23" s="1"/>
      <c r="B23" s="33" t="s">
        <v>42</v>
      </c>
      <c r="C23" s="28"/>
      <c r="D23" s="19"/>
      <c r="E23" s="1"/>
    </row>
    <row r="24" spans="1:5" ht="15" customHeight="1" x14ac:dyDescent="0.25">
      <c r="A24" s="1"/>
      <c r="B24" s="82"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0</v>
      </c>
      <c r="D26" s="8" t="s">
        <v>3</v>
      </c>
      <c r="E26" s="1"/>
    </row>
    <row r="27" spans="1:5" ht="15" customHeight="1" x14ac:dyDescent="0.25">
      <c r="A27" s="1"/>
      <c r="B27" s="64" t="s">
        <v>38</v>
      </c>
      <c r="C27" s="38">
        <f>'Fane 11.2. Engangstillæg'!E14</f>
        <v>841813.41694496002</v>
      </c>
      <c r="D27" s="8" t="s">
        <v>3</v>
      </c>
      <c r="E27" s="1"/>
    </row>
    <row r="28" spans="1:5" ht="15" customHeight="1" x14ac:dyDescent="0.25">
      <c r="A28" s="1"/>
      <c r="B28" s="64" t="s">
        <v>92</v>
      </c>
      <c r="C28" s="38">
        <f>-C26*('Fane 15. Nøgletal'!C21+'Fane 5. Individuelt eff. krav'!C9)</f>
        <v>0</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841813.41694496002</v>
      </c>
      <c r="D30" s="11" t="s">
        <v>3</v>
      </c>
      <c r="E30" s="1"/>
    </row>
    <row r="31" spans="1:5" x14ac:dyDescent="0.25">
      <c r="A31" s="1"/>
      <c r="B31" s="33" t="s">
        <v>69</v>
      </c>
      <c r="C31" s="28"/>
      <c r="D31" s="19"/>
      <c r="E31" s="1"/>
    </row>
    <row r="32" spans="1:5" x14ac:dyDescent="0.25">
      <c r="A32" s="1"/>
      <c r="B32" s="31" t="s">
        <v>79</v>
      </c>
      <c r="C32" s="62">
        <f>'Fane 7. Kontrol af ØR2023'!C27</f>
        <v>3010697.1266660243</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180755222.9331927</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OYJWzMTqMPnsWuYAU1LntzlHJnsgNFKuVCnKFE/OgJOEucqXYIIxZmMWaqY4VJzYk2J4Uk6r0DtqVSqAKSb2ZA==" saltValue="qCmJiDmC+V0v+NLxrmI7k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8" t="s">
        <v>119</v>
      </c>
      <c r="C3" s="108"/>
      <c r="D3" s="1"/>
    </row>
    <row r="4" spans="1:4" ht="15" customHeight="1" x14ac:dyDescent="0.25">
      <c r="A4" s="1"/>
      <c r="B4" s="108"/>
      <c r="C4" s="108"/>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e6++oFW4Evad5VYO1ldnPwthmiI1Dyp9vM74gDVi+e64jUeI6pxVZYeFMS+axEhMK5pYzC10eQwMCW/lSg4O0Q==" saltValue="jqFoRrv2s9n4GMhLvj4u3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156</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169679346.29712597</v>
      </c>
      <c r="D9" s="8" t="s">
        <v>3</v>
      </c>
      <c r="E9" s="1"/>
    </row>
    <row r="10" spans="1:5" ht="15" customHeight="1" x14ac:dyDescent="0.25">
      <c r="A10" s="1"/>
      <c r="B10" s="26" t="s">
        <v>19</v>
      </c>
      <c r="C10" s="7">
        <f>C9*'Fane 15. Nøgletal'!C10</f>
        <v>11249740.659499452</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-1105784.2021837267</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179823302.75444168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5030829.0897855675</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184854131.84422725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SqVm7DO0PqZw9JpaiwKxlqUgjLqnVmYrXKlTNAHwKxD0ek/z/wpVpH/7STmVigPRdR+ykgJYriCf2gALBGlOA==" saltValue="iur9FZzyx+Lq3eez5qZiiQ=="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157</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179823302.75444168</v>
      </c>
      <c r="D9" s="8" t="s">
        <v>3</v>
      </c>
      <c r="E9" s="1"/>
    </row>
    <row r="10" spans="1:5" ht="15" customHeight="1" x14ac:dyDescent="0.25">
      <c r="A10" s="1"/>
      <c r="B10" s="26" t="s">
        <v>19</v>
      </c>
      <c r="C10" s="7">
        <f>SUM(C9:C9)*'Fane 15. Nøgletal'!C10</f>
        <v>11922284.972619483</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-1155515.7408927376</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190590071.98616841</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5364373.0584383504</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0</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195954445.04460678</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3kPTTrc9EW2LSbVlBqnUjsvvt7bQAyKgh3grcatADhXVFvPNMcFBOAzBajcwFMjcBUYw9PG6BNF9naB+RNJiA==" saltValue="aMk+U4Hux2n9z70L6eEdI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158</v>
      </c>
      <c r="C3" s="105"/>
      <c r="D3" s="105"/>
      <c r="E3" s="1"/>
    </row>
    <row r="4" spans="1:5" ht="15" customHeight="1" x14ac:dyDescent="0.25">
      <c r="A4" s="1"/>
      <c r="B4" s="105"/>
      <c r="C4" s="105"/>
      <c r="D4" s="105"/>
      <c r="E4" s="1"/>
    </row>
    <row r="5" spans="1:5" x14ac:dyDescent="0.25">
      <c r="A5" s="1"/>
      <c r="B5" s="106" t="s">
        <v>144</v>
      </c>
      <c r="C5" s="106"/>
      <c r="D5" s="106"/>
      <c r="E5" s="1"/>
    </row>
    <row r="6" spans="1:5" x14ac:dyDescent="0.25">
      <c r="A6" s="1"/>
      <c r="B6" s="74"/>
      <c r="C6" s="74"/>
      <c r="D6" s="74"/>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190590071.98616841</v>
      </c>
      <c r="D9" s="8" t="s">
        <v>3</v>
      </c>
      <c r="E9" s="1"/>
    </row>
    <row r="10" spans="1:5" ht="15" customHeight="1" x14ac:dyDescent="0.25">
      <c r="A10" s="1"/>
      <c r="B10" s="26" t="s">
        <v>19</v>
      </c>
      <c r="C10" s="7">
        <f>SUM(C9:C9)*'Fane 15. Nøgletal'!C10</f>
        <v>12636121.772682965</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-1207483.9058236477</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202018709.85302773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5720030.9922128143</v>
      </c>
      <c r="D16" s="11" t="s">
        <v>3</v>
      </c>
      <c r="E16" s="1"/>
    </row>
    <row r="17" spans="1:5" ht="15" customHeight="1" x14ac:dyDescent="0.25">
      <c r="A17" s="1"/>
      <c r="B17" s="33" t="s">
        <v>42</v>
      </c>
      <c r="C17" s="28"/>
      <c r="D17" s="19"/>
      <c r="E17" s="1"/>
    </row>
    <row r="18" spans="1:5" ht="15" customHeight="1" x14ac:dyDescent="0.25">
      <c r="A18" s="1"/>
      <c r="B18" s="82"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207738740.84524053</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OUC05jwS9WIpxHXNBH7zo5ZO7PxEowEyewQqlkNhXSLgBMo09vda10I72142SgKd0DnRqAQKxSiRZ4YIML2elQ==" saltValue="qGhbYKwh2LoDtsV4eoY2rg=="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8" t="s">
        <v>161</v>
      </c>
      <c r="C3" s="108"/>
      <c r="D3" s="108"/>
      <c r="E3" s="1"/>
    </row>
    <row r="4" spans="1:5" ht="15" customHeight="1" x14ac:dyDescent="0.25">
      <c r="A4" s="1"/>
      <c r="B4" s="108"/>
      <c r="C4" s="108"/>
      <c r="D4" s="108"/>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144678828.61224586</v>
      </c>
      <c r="D9" s="8" t="s">
        <v>3</v>
      </c>
      <c r="E9" s="1"/>
    </row>
    <row r="10" spans="1:5" ht="15" customHeight="1" x14ac:dyDescent="0.25">
      <c r="A10" s="1"/>
      <c r="B10" s="64" t="s">
        <v>35</v>
      </c>
      <c r="C10" s="7">
        <v>377314.8456</v>
      </c>
      <c r="D10" s="8" t="s">
        <v>3</v>
      </c>
      <c r="E10" s="1"/>
    </row>
    <row r="11" spans="1:5" ht="15" customHeight="1" x14ac:dyDescent="0.25">
      <c r="A11" s="1"/>
      <c r="B11" s="64" t="s">
        <v>36</v>
      </c>
      <c r="C11" s="9">
        <v>751161.40399999998</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11781230.232837144</v>
      </c>
      <c r="D16" s="8" t="s">
        <v>3</v>
      </c>
      <c r="E16" s="1"/>
    </row>
    <row r="17" spans="1:5" ht="15" customHeight="1" x14ac:dyDescent="0.25">
      <c r="A17" s="1"/>
      <c r="B17" s="64" t="s">
        <v>10</v>
      </c>
      <c r="C17" s="38">
        <v>0</v>
      </c>
      <c r="D17" s="8" t="s">
        <v>3</v>
      </c>
      <c r="E17" s="1"/>
    </row>
    <row r="18" spans="1:5" ht="15" customHeight="1" x14ac:dyDescent="0.25">
      <c r="A18" s="1"/>
      <c r="B18" s="64" t="s">
        <v>22</v>
      </c>
      <c r="C18" s="38">
        <v>-980773.35097696842</v>
      </c>
      <c r="D18" s="8" t="s">
        <v>3</v>
      </c>
      <c r="E18" s="1"/>
    </row>
    <row r="19" spans="1:5" ht="15" customHeight="1" x14ac:dyDescent="0.25">
      <c r="A19" s="1"/>
      <c r="B19" s="64" t="s">
        <v>23</v>
      </c>
      <c r="C19" s="38">
        <v>0</v>
      </c>
      <c r="D19" s="8" t="s">
        <v>3</v>
      </c>
      <c r="E19" s="43"/>
    </row>
    <row r="20" spans="1:5" ht="15" customHeight="1" x14ac:dyDescent="0.25">
      <c r="A20" s="1"/>
      <c r="B20" s="82" t="s">
        <v>21</v>
      </c>
      <c r="C20" s="10">
        <v>156607761.74370605</v>
      </c>
      <c r="D20" s="11" t="s">
        <v>3</v>
      </c>
      <c r="E20" s="1"/>
    </row>
    <row r="21" spans="1:5" ht="15" customHeight="1" x14ac:dyDescent="0.25">
      <c r="A21" s="1"/>
      <c r="B21" s="33" t="s">
        <v>12</v>
      </c>
      <c r="C21" s="28"/>
      <c r="D21" s="19"/>
      <c r="E21" s="1"/>
    </row>
    <row r="22" spans="1:5" ht="15" customHeight="1" x14ac:dyDescent="0.25">
      <c r="A22" s="1"/>
      <c r="B22" s="31" t="s">
        <v>12</v>
      </c>
      <c r="C22" s="10">
        <v>5487335.1677203197</v>
      </c>
      <c r="D22" s="11" t="s">
        <v>3</v>
      </c>
      <c r="E22" s="1"/>
    </row>
    <row r="23" spans="1:5" ht="15" customHeight="1" x14ac:dyDescent="0.25">
      <c r="A23" s="1"/>
      <c r="B23" s="33" t="s">
        <v>42</v>
      </c>
      <c r="C23" s="28"/>
      <c r="D23" s="19"/>
      <c r="E23" s="1"/>
    </row>
    <row r="24" spans="1:5" ht="15" customHeight="1" x14ac:dyDescent="0.25">
      <c r="A24" s="1"/>
      <c r="B24" s="82" t="s">
        <v>42</v>
      </c>
      <c r="C24" s="10">
        <v>0</v>
      </c>
      <c r="D24" s="11" t="s">
        <v>3</v>
      </c>
      <c r="E24" s="1"/>
    </row>
    <row r="25" spans="1:5" x14ac:dyDescent="0.25">
      <c r="A25" s="1"/>
      <c r="B25" s="41" t="s">
        <v>41</v>
      </c>
      <c r="C25" s="39"/>
      <c r="D25" s="40"/>
      <c r="E25" s="1"/>
    </row>
    <row r="26" spans="1:5" ht="15" customHeight="1" x14ac:dyDescent="0.25">
      <c r="A26" s="1"/>
      <c r="B26" s="64" t="s">
        <v>89</v>
      </c>
      <c r="C26" s="71">
        <v>0</v>
      </c>
      <c r="D26" s="8" t="s">
        <v>3</v>
      </c>
      <c r="E26" s="1"/>
    </row>
    <row r="27" spans="1:5" ht="15" customHeight="1" x14ac:dyDescent="0.25">
      <c r="A27" s="1"/>
      <c r="B27" s="64" t="s">
        <v>38</v>
      </c>
      <c r="C27" s="71">
        <v>0</v>
      </c>
      <c r="D27" s="8" t="s">
        <v>3</v>
      </c>
      <c r="E27" s="1"/>
    </row>
    <row r="28" spans="1:5" ht="15" customHeight="1" x14ac:dyDescent="0.25">
      <c r="A28" s="1"/>
      <c r="B28" s="64" t="s">
        <v>92</v>
      </c>
      <c r="C28" s="71">
        <v>0</v>
      </c>
      <c r="D28" s="8" t="s">
        <v>3</v>
      </c>
      <c r="E28" s="1"/>
    </row>
    <row r="29" spans="1:5" ht="15" customHeight="1" x14ac:dyDescent="0.25">
      <c r="A29" s="1"/>
      <c r="B29" s="64" t="s">
        <v>93</v>
      </c>
      <c r="C29" s="71">
        <v>0</v>
      </c>
      <c r="D29" s="8" t="s">
        <v>3</v>
      </c>
      <c r="E29" s="1"/>
    </row>
    <row r="30" spans="1:5" ht="15" customHeight="1" x14ac:dyDescent="0.25">
      <c r="A30" s="1"/>
      <c r="B30" s="67" t="s">
        <v>43</v>
      </c>
      <c r="C30" s="10">
        <v>0</v>
      </c>
      <c r="D30" s="11" t="s">
        <v>3</v>
      </c>
      <c r="E30" s="1"/>
    </row>
    <row r="31" spans="1:5" ht="15" customHeight="1" x14ac:dyDescent="0.25">
      <c r="A31" s="1"/>
      <c r="B31" s="33" t="s">
        <v>69</v>
      </c>
      <c r="C31" s="28"/>
      <c r="D31" s="19"/>
      <c r="E31" s="1"/>
    </row>
    <row r="32" spans="1:5" ht="15" customHeight="1" x14ac:dyDescent="0.25">
      <c r="A32" s="1"/>
      <c r="B32" s="31" t="s">
        <v>79</v>
      </c>
      <c r="C32" s="10">
        <v>-3010697</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3455843.7877240889</v>
      </c>
      <c r="D38" s="11" t="s">
        <v>3</v>
      </c>
      <c r="E38" s="1"/>
    </row>
    <row r="39" spans="1:5" x14ac:dyDescent="0.25">
      <c r="A39" s="1"/>
      <c r="B39" s="33" t="s">
        <v>65</v>
      </c>
      <c r="C39" s="45">
        <v>162540243.69915044</v>
      </c>
      <c r="D39" s="30" t="s">
        <v>3</v>
      </c>
      <c r="E39" s="1"/>
    </row>
    <row r="40" spans="1:5" ht="30" customHeight="1" x14ac:dyDescent="0.25">
      <c r="A40" s="1"/>
      <c r="B40" s="107" t="s">
        <v>225</v>
      </c>
      <c r="C40" s="107"/>
      <c r="D40" s="107"/>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Q4DfpmU3f1W6t2qo3q4QHwUXqkkN/OwSmlrp2qtc6J0oJ+fRoKrCPLx4yLDkyKSOMwR0Bj2wQK+ryom8YVVFrg==" saltValue="PVX3iyBhwkX6M38018zpcQ=="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8" t="s">
        <v>56</v>
      </c>
      <c r="C3" s="108"/>
      <c r="D3" s="108"/>
      <c r="E3" s="1"/>
    </row>
    <row r="4" spans="1:5" ht="15" customHeight="1" x14ac:dyDescent="0.25">
      <c r="A4" s="1"/>
      <c r="B4" s="108"/>
      <c r="C4" s="108"/>
      <c r="D4" s="108"/>
      <c r="E4" s="1"/>
    </row>
    <row r="5" spans="1:5" ht="15" customHeight="1" x14ac:dyDescent="0.25">
      <c r="A5" s="1"/>
      <c r="B5" s="108"/>
      <c r="C5" s="108"/>
      <c r="D5" s="108"/>
      <c r="E5" s="1"/>
    </row>
    <row r="6" spans="1:5" ht="15" customHeight="1" x14ac:dyDescent="0.25">
      <c r="A6" s="1"/>
      <c r="B6" s="75"/>
      <c r="C6" s="75"/>
      <c r="D6" s="75"/>
      <c r="E6" s="1"/>
    </row>
    <row r="7" spans="1:5" x14ac:dyDescent="0.25">
      <c r="A7" s="1"/>
      <c r="B7" s="1"/>
      <c r="C7" s="1"/>
      <c r="D7" s="1"/>
      <c r="E7" s="1"/>
    </row>
    <row r="8" spans="1:5" x14ac:dyDescent="0.25">
      <c r="A8" s="1"/>
      <c r="B8" s="109" t="s">
        <v>123</v>
      </c>
      <c r="C8" s="110"/>
      <c r="D8" s="111"/>
      <c r="E8" s="1"/>
    </row>
    <row r="9" spans="1:5" x14ac:dyDescent="0.25">
      <c r="A9" s="1"/>
      <c r="B9" s="65" t="s">
        <v>88</v>
      </c>
      <c r="C9" s="23">
        <v>48630865.663723953</v>
      </c>
      <c r="D9" s="14" t="s">
        <v>3</v>
      </c>
      <c r="E9" s="1"/>
    </row>
    <row r="10" spans="1:5" x14ac:dyDescent="0.25">
      <c r="A10" s="1"/>
      <c r="B10" s="65" t="s">
        <v>125</v>
      </c>
      <c r="C10" s="23">
        <f>('Fane 3. Omkostninger i ØR2024'!C10+'Fane 3. Omkostninger i ØR2024'!C12+'Fane 3. Omkostninger i ØR2024'!C14)*(1+'Fane 15. Nøgletal'!C9)</f>
        <v>407801.88512448</v>
      </c>
      <c r="D10" s="14" t="s">
        <v>3</v>
      </c>
      <c r="E10" s="1"/>
    </row>
    <row r="11" spans="1:5" x14ac:dyDescent="0.25">
      <c r="A11" s="1"/>
      <c r="B11" s="65" t="s">
        <v>131</v>
      </c>
      <c r="C11" s="23">
        <f>C9*'Fane 15. Nøgletal'!C21+C10*'Fane 15. Nøgletal'!C21</f>
        <v>980773.35097696877</v>
      </c>
      <c r="D11" s="14" t="s">
        <v>3</v>
      </c>
      <c r="E11" s="1"/>
    </row>
    <row r="12" spans="1:5" x14ac:dyDescent="0.25">
      <c r="A12" s="1"/>
      <c r="B12" s="33"/>
      <c r="C12" s="28"/>
      <c r="D12" s="19"/>
      <c r="E12" s="1"/>
    </row>
    <row r="13" spans="1:5" x14ac:dyDescent="0.25">
      <c r="A13" s="1"/>
      <c r="B13" s="1"/>
      <c r="C13" s="1"/>
      <c r="D13" s="1"/>
      <c r="E13" s="1"/>
    </row>
    <row r="14" spans="1:5" x14ac:dyDescent="0.25">
      <c r="A14" s="1"/>
      <c r="B14" s="109" t="s">
        <v>124</v>
      </c>
      <c r="C14" s="110"/>
      <c r="D14" s="111"/>
      <c r="E14" s="1"/>
    </row>
    <row r="15" spans="1:5" x14ac:dyDescent="0.25">
      <c r="A15" s="1"/>
      <c r="B15" s="65" t="s">
        <v>133</v>
      </c>
      <c r="C15" s="23">
        <f>(C9+C10-C11)*(1+'Fane 15. Nøgletal'!C9)</f>
        <v>51940972.04905948</v>
      </c>
      <c r="D15" s="14" t="s">
        <v>3</v>
      </c>
      <c r="E15" s="1"/>
    </row>
    <row r="16" spans="1:5" x14ac:dyDescent="0.25">
      <c r="A16" s="1"/>
      <c r="B16" s="65" t="s">
        <v>184</v>
      </c>
      <c r="C16" s="23">
        <f>('Fane 2.1. Økonomisk ramme 2025'!C10+'Fane 2.1. Økonomisk ramme 2025'!C12+'Fane 2.1. Økonomisk ramme 2025'!C14)*(1+'Fane 15. Nøgletal'!C10)</f>
        <v>968679.39603516005</v>
      </c>
      <c r="D16" s="14" t="s">
        <v>3</v>
      </c>
      <c r="E16" s="1"/>
    </row>
    <row r="17" spans="1:5" x14ac:dyDescent="0.25">
      <c r="A17" s="1"/>
      <c r="B17" s="65" t="s">
        <v>132</v>
      </c>
      <c r="C17" s="23">
        <f>C15*'Fane 15. Nøgletal'!C21+C16*'Fane 15. Nøgletal'!C21</f>
        <v>1058193.0289018927</v>
      </c>
      <c r="D17" s="14" t="s">
        <v>3</v>
      </c>
      <c r="E17" s="1"/>
    </row>
    <row r="18" spans="1:5" x14ac:dyDescent="0.25">
      <c r="A18" s="1"/>
      <c r="B18" s="33"/>
      <c r="C18" s="28"/>
      <c r="D18" s="19"/>
      <c r="E18" s="1"/>
    </row>
    <row r="19" spans="1:5" x14ac:dyDescent="0.25">
      <c r="A19" s="1"/>
      <c r="B19" s="1"/>
      <c r="C19" s="63"/>
      <c r="D19" s="1"/>
      <c r="E19" s="1"/>
    </row>
    <row r="20" spans="1:5" x14ac:dyDescent="0.25">
      <c r="A20" s="1"/>
      <c r="B20" s="109" t="s">
        <v>145</v>
      </c>
      <c r="C20" s="110"/>
      <c r="D20" s="111"/>
      <c r="E20" s="1"/>
    </row>
    <row r="21" spans="1:5" x14ac:dyDescent="0.25">
      <c r="A21" s="1"/>
      <c r="B21" s="65" t="s">
        <v>189</v>
      </c>
      <c r="C21" s="23">
        <f>(C15+C16-C17)*(1+'Fane 15. Nøgletal'!C10)</f>
        <v>55289210.109186329</v>
      </c>
      <c r="D21" s="14" t="s">
        <v>3</v>
      </c>
      <c r="E21" s="1"/>
    </row>
    <row r="22" spans="1:5" x14ac:dyDescent="0.25">
      <c r="A22" s="1"/>
      <c r="B22" s="65" t="s">
        <v>196</v>
      </c>
      <c r="C22" s="23">
        <f>C21*'Fane 15. Nøgletal'!C21</f>
        <v>1105784.2021837267</v>
      </c>
      <c r="D22" s="14" t="s">
        <v>3</v>
      </c>
      <c r="E22" s="1"/>
    </row>
    <row r="23" spans="1:5" x14ac:dyDescent="0.25">
      <c r="A23" s="1"/>
      <c r="B23" s="33"/>
      <c r="C23" s="28"/>
      <c r="D23" s="19"/>
      <c r="E23" s="1"/>
    </row>
    <row r="24" spans="1:5" x14ac:dyDescent="0.25">
      <c r="A24" s="1"/>
      <c r="B24" s="1"/>
      <c r="C24" s="1"/>
      <c r="D24" s="1"/>
      <c r="E24" s="1"/>
    </row>
    <row r="25" spans="1:5" x14ac:dyDescent="0.25">
      <c r="A25" s="1"/>
      <c r="B25" s="109" t="s">
        <v>187</v>
      </c>
      <c r="C25" s="110"/>
      <c r="D25" s="111"/>
      <c r="E25" s="1"/>
    </row>
    <row r="26" spans="1:5" x14ac:dyDescent="0.25">
      <c r="A26" s="1"/>
      <c r="B26" s="65" t="s">
        <v>190</v>
      </c>
      <c r="C26" s="23">
        <f>(C21-C22)*(1+'Fane 15. Nøgletal'!C10)</f>
        <v>57775787.044636883</v>
      </c>
      <c r="D26" s="14" t="s">
        <v>3</v>
      </c>
      <c r="E26" s="1"/>
    </row>
    <row r="27" spans="1:5" x14ac:dyDescent="0.25">
      <c r="A27" s="1"/>
      <c r="B27" s="65" t="s">
        <v>194</v>
      </c>
      <c r="C27" s="23">
        <f>C26*'Fane 15. Nøgletal'!C21</f>
        <v>1155515.7408927376</v>
      </c>
      <c r="D27" s="14" t="s">
        <v>3</v>
      </c>
      <c r="E27" s="1"/>
    </row>
    <row r="28" spans="1:5" x14ac:dyDescent="0.25">
      <c r="A28" s="1"/>
      <c r="B28" s="33"/>
      <c r="C28" s="28"/>
      <c r="D28" s="19"/>
      <c r="E28" s="1"/>
    </row>
    <row r="29" spans="1:5" x14ac:dyDescent="0.25">
      <c r="A29" s="1"/>
      <c r="B29" s="1"/>
      <c r="C29" s="1"/>
      <c r="D29" s="1"/>
      <c r="E29" s="1"/>
    </row>
    <row r="30" spans="1:5" x14ac:dyDescent="0.25">
      <c r="A30" s="1"/>
      <c r="B30" s="109" t="s">
        <v>188</v>
      </c>
      <c r="C30" s="110"/>
      <c r="D30" s="111"/>
      <c r="E30" s="1"/>
    </row>
    <row r="31" spans="1:5" x14ac:dyDescent="0.25">
      <c r="A31" s="1"/>
      <c r="B31" s="65" t="s">
        <v>191</v>
      </c>
      <c r="C31" s="23">
        <f>(C26-C27)*(1+'Fane 15. Nøgletal'!C10)</f>
        <v>60374195.291182384</v>
      </c>
      <c r="D31" s="14" t="s">
        <v>3</v>
      </c>
      <c r="E31" s="1"/>
    </row>
    <row r="32" spans="1:5" x14ac:dyDescent="0.25">
      <c r="A32" s="1"/>
      <c r="B32" s="65" t="s">
        <v>195</v>
      </c>
      <c r="C32" s="23">
        <f>C31*'Fane 15. Nøgletal'!C21</f>
        <v>1207483.9058236477</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mPU0abZaO711C1daaDWaMQ2o0wt9tOe2w2b2U/zUUSB9aDukLo9AO2GMVFuqSZ7/4akMQAwxj1V3vJpSPqtVCg==" saltValue="vqU0eBOH9fm0qkj43Gdd2g=="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2" t="s">
        <v>57</v>
      </c>
      <c r="C3" s="112"/>
      <c r="D3" s="112"/>
      <c r="E3" s="1"/>
    </row>
    <row r="4" spans="1:5" ht="15" customHeight="1" x14ac:dyDescent="0.25">
      <c r="A4" s="1"/>
      <c r="B4" s="112"/>
      <c r="C4" s="112"/>
      <c r="D4" s="112"/>
      <c r="E4" s="1"/>
    </row>
    <row r="5" spans="1:5" ht="15" customHeight="1" x14ac:dyDescent="0.25">
      <c r="A5" s="1"/>
      <c r="B5" s="112"/>
      <c r="C5" s="112"/>
      <c r="D5" s="112"/>
      <c r="E5" s="1"/>
    </row>
    <row r="6" spans="1:5" ht="15" customHeight="1" x14ac:dyDescent="0.35">
      <c r="A6" s="1"/>
      <c r="B6" s="69"/>
      <c r="C6" s="69"/>
      <c r="D6" s="69"/>
      <c r="E6" s="1"/>
    </row>
    <row r="7" spans="1:5" x14ac:dyDescent="0.25">
      <c r="A7" s="1"/>
      <c r="B7" s="1"/>
      <c r="C7" s="1"/>
      <c r="D7" s="1"/>
      <c r="E7" s="1"/>
    </row>
    <row r="8" spans="1:5" x14ac:dyDescent="0.25">
      <c r="A8" s="1"/>
      <c r="B8" s="109" t="s">
        <v>147</v>
      </c>
      <c r="C8" s="110"/>
      <c r="D8" s="111"/>
      <c r="E8" s="1"/>
    </row>
    <row r="9" spans="1:5" x14ac:dyDescent="0.25">
      <c r="A9" s="1"/>
      <c r="B9" s="65" t="s">
        <v>134</v>
      </c>
      <c r="C9" s="23">
        <v>114623248.20090669</v>
      </c>
      <c r="D9" s="14" t="s">
        <v>3</v>
      </c>
      <c r="E9" s="1"/>
    </row>
    <row r="10" spans="1:5" x14ac:dyDescent="0.25">
      <c r="A10" s="1"/>
      <c r="B10" s="65" t="s">
        <v>126</v>
      </c>
      <c r="C10" s="23">
        <f>('Fane 3. Omkostninger i ØR2024'!C11+'Fane 3. Omkostninger i ØR2024'!C13+'Fane 3. Omkostninger i ØR2024'!C15)*(1+'Fane 15. Nøgletal'!C9)</f>
        <v>811855.24544319999</v>
      </c>
      <c r="D10" s="14" t="s">
        <v>3</v>
      </c>
      <c r="E10" s="1"/>
    </row>
    <row r="11" spans="1:5" x14ac:dyDescent="0.25">
      <c r="A11" s="1"/>
      <c r="B11" s="65" t="s">
        <v>135</v>
      </c>
      <c r="C11" s="8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9" t="s">
        <v>146</v>
      </c>
      <c r="C14" s="110"/>
      <c r="D14" s="111"/>
      <c r="E14" s="1"/>
    </row>
    <row r="15" spans="1:5" x14ac:dyDescent="0.25">
      <c r="A15" s="1"/>
      <c r="B15" s="65" t="s">
        <v>136</v>
      </c>
      <c r="C15" s="23">
        <f>(C9+C10-C11)*(1+'Fane 15. Nøgletal'!C9)</f>
        <v>124762259.80481496</v>
      </c>
      <c r="D15" s="14" t="s">
        <v>3</v>
      </c>
      <c r="E15" s="1"/>
    </row>
    <row r="16" spans="1:5" x14ac:dyDescent="0.25">
      <c r="A16" s="1"/>
      <c r="B16" s="65" t="s">
        <v>185</v>
      </c>
      <c r="C16" s="23">
        <f>('Fane 2.1. Økonomisk ramme 2025'!C11+'Fane 2.1. Økonomisk ramme 2025'!C13+'Fane 2.1. Økonomisk ramme 2025'!C15)*(1+'Fane 15. Nøgletal'!C10)</f>
        <v>507191.03739519999</v>
      </c>
      <c r="D16" s="14" t="s">
        <v>3</v>
      </c>
      <c r="E16" s="1"/>
    </row>
    <row r="17" spans="1:5" x14ac:dyDescent="0.25">
      <c r="A17" s="1"/>
      <c r="B17" s="65" t="s">
        <v>137</v>
      </c>
      <c r="C17" s="8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9" t="s">
        <v>82</v>
      </c>
      <c r="C20" s="110"/>
      <c r="D20" s="111"/>
      <c r="E20" s="1"/>
    </row>
    <row r="21" spans="1:5" x14ac:dyDescent="0.25">
      <c r="A21" s="1"/>
      <c r="B21" s="65" t="s">
        <v>192</v>
      </c>
      <c r="C21" s="23">
        <f>(C15+C16-C17)*(1+'Fane 15. Nøgletal'!C10)</f>
        <v>133574815.4330487</v>
      </c>
      <c r="D21" s="14" t="s">
        <v>3</v>
      </c>
      <c r="E21" s="1"/>
    </row>
    <row r="22" spans="1:5" x14ac:dyDescent="0.25">
      <c r="A22" s="1"/>
      <c r="B22" s="65" t="s">
        <v>197</v>
      </c>
      <c r="C22" s="8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9" t="s">
        <v>138</v>
      </c>
      <c r="C25" s="110"/>
      <c r="D25" s="111"/>
      <c r="E25" s="1"/>
    </row>
    <row r="26" spans="1:5" x14ac:dyDescent="0.25">
      <c r="A26" s="1"/>
      <c r="B26" s="65" t="s">
        <v>193</v>
      </c>
      <c r="C26" s="23">
        <f>(C21-C22)*(1+'Fane 15. Nøgletal'!C10)</f>
        <v>142430825.69625983</v>
      </c>
      <c r="D26" s="14" t="s">
        <v>3</v>
      </c>
      <c r="E26" s="1"/>
    </row>
    <row r="27" spans="1:5" x14ac:dyDescent="0.25">
      <c r="A27" s="1"/>
      <c r="B27" s="65" t="s">
        <v>198</v>
      </c>
      <c r="C27" s="8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9" t="s">
        <v>163</v>
      </c>
      <c r="C30" s="110"/>
      <c r="D30" s="111"/>
      <c r="E30" s="1"/>
    </row>
    <row r="31" spans="1:5" x14ac:dyDescent="0.25">
      <c r="A31" s="1"/>
      <c r="B31" s="65" t="s">
        <v>200</v>
      </c>
      <c r="C31" s="23">
        <f>(C26-C27)*(1+'Fane 15. Nøgletal'!C10)</f>
        <v>151873989.43992186</v>
      </c>
      <c r="D31" s="14" t="s">
        <v>3</v>
      </c>
      <c r="E31" s="1"/>
    </row>
    <row r="32" spans="1:5" x14ac:dyDescent="0.25">
      <c r="A32" s="1"/>
      <c r="B32" s="65" t="s">
        <v>199</v>
      </c>
      <c r="C32" s="8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QhufjJdHWOHT0AaMeIO4QaP3cxfeiLKPMToH0mpY42UCKe/O7eNRaO0D+E6jgEFHlgHF7E+nE2E5BRV2f0oQQ==" saltValue="i69h1QG+E0g3ZDtEgkYvSQ=="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44</v>
      </c>
      <c r="C3" s="105"/>
      <c r="D3" s="1"/>
    </row>
    <row r="4" spans="1:4" ht="15" customHeight="1" x14ac:dyDescent="0.25">
      <c r="A4" s="1"/>
      <c r="B4" s="105"/>
      <c r="C4" s="10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9" t="s">
        <v>10</v>
      </c>
      <c r="C8" s="111"/>
      <c r="D8" s="1"/>
    </row>
    <row r="9" spans="1:4" x14ac:dyDescent="0.25">
      <c r="A9" s="1"/>
      <c r="B9" s="65" t="s">
        <v>164</v>
      </c>
      <c r="C9" s="22">
        <v>0</v>
      </c>
      <c r="D9" s="1"/>
    </row>
    <row r="10" spans="1:4" x14ac:dyDescent="0.25">
      <c r="A10" s="1"/>
      <c r="B10" s="33"/>
      <c r="C10" s="19"/>
      <c r="D10" s="1"/>
    </row>
    <row r="11" spans="1:4" x14ac:dyDescent="0.25">
      <c r="A11" s="1"/>
      <c r="B11" s="113" t="s">
        <v>220</v>
      </c>
      <c r="C11" s="114"/>
      <c r="D11" s="1"/>
    </row>
    <row r="12" spans="1:4" x14ac:dyDescent="0.25">
      <c r="A12" s="1"/>
      <c r="B12" s="115"/>
      <c r="C12" s="11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C1mQt8r/f0gwJ9tEpu5sA2nAfOcFF84b5L0AlK6ca1uKOXyr8SkXyjCA3L9oEbJDqEbbY7jQ7hPUl+HiXrCc/Q==" saltValue="Jq5BOAsgoyepiipPDz3OF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2024-05-06T07:45:39Z</cp:lastPrinted>
  <dcterms:created xsi:type="dcterms:W3CDTF">2016-06-02T08:51:18Z</dcterms:created>
  <dcterms:modified xsi:type="dcterms:W3CDTF">2024-10-01T08:51:04Z</dcterms:modified>
</cp:coreProperties>
</file>