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Novafos Vand Ballerup AS (V197)\ØR2024\"/>
    </mc:Choice>
  </mc:AlternateContent>
  <xr:revisionPtr revIDLastSave="0" documentId="13_ncr:1_{D752825C-7CB9-4AE4-9776-0DA6401644B2}"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2024'!$B$7:$D$33</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E23" i="42" l="1"/>
  <c r="E31" i="42" s="1"/>
  <c r="E33" i="42" s="1"/>
  <c r="C17" i="22" s="1"/>
  <c r="C17" i="15" l="1"/>
  <c r="E27" i="42"/>
  <c r="C29" i="2" s="1"/>
  <c r="C8" i="2"/>
  <c r="C13" i="29" l="1"/>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G49"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C18" i="2"/>
  <c r="C15" i="2"/>
  <c r="G53" i="36" l="1"/>
  <c r="G54" i="36" s="1"/>
  <c r="G63" i="30"/>
  <c r="G64" i="30" s="1"/>
  <c r="C11" i="23" s="1"/>
  <c r="C11" i="22"/>
  <c r="C16" i="2"/>
  <c r="C19" i="2" s="1"/>
  <c r="C32" i="2" l="1"/>
  <c r="G58" i="36"/>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<sst xmlns="http://schemas.openxmlformats.org/spreadsheetml/2006/main" count="551" uniqueCount="264">
  <si>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</si>
  <si>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</si>
  <si>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</si>
  <si>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</si>
  <si>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</si>
  <si>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</si>
  <si>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</si>
  <si>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</si>
  <si>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</si>
  <si>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</si>
  <si>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</si>
  <si>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</si>
  <si>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</si>
  <si>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</si>
  <si>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</si>
  <si>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</si>
  <si>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</si>
  <si>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</si>
  <si>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</si>
  <si>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</si>
  <si>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</si>
  <si>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</si>
  <si>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</si>
  <si>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</si>
  <si>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</si>
  <si>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</si>
  <si>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</si>
  <si>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</si>
  <si>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</si>
  <si>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</si>
  <si>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</si>
  <si>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</si>
  <si>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</si>
  <si>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</si>
  <si>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</si>
  <si>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</si>
  <si>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</si>
  <si>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</si>
  <si>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</si>
  <si>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</si>
  <si>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</si>
  <si>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</si>
  <si>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</si>
  <si>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</si>
  <si>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</si>
  <si>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</si>
  <si>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</si>
  <si>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</si>
  <si>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</si>
  <si>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</si>
  <si>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</si>
  <si>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</si>
  <si>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</si>
  <si>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</si>
  <si>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</si>
  <si>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</si>
  <si>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</si>
  <si>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</si>
  <si>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</si>
  <si>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</si>
  <si>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</si>
  <si>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</si>
  <si>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</si>
  <si>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</si>
  <si>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</si>
  <si>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</si>
  <si>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</si>
  <si>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</si>
  <si>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</si>
  <si>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</si>
  <si>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</si>
  <si>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</si>
  <si>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</si>
  <si>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</si>
  <si>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</si>
  <si>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</si>
  <si>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</si>
  <si>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</si>
  <si>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</si>
  <si>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</si>
  <si>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</si>
  <si>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</si>
  <si>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</si>
  <si>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</si>
  <si>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</si>
  <si>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</si>
  <si>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</si>
  <si>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</si>
  <si>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</si>
  <si>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</si>
  <si>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</si>
  <si>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</si>
  <si>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</si>
  <si>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</si>
  <si>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</si>
  <si>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</si>
  <si>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</si>
  <si>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</si>
  <si>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</si>
  <si>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</si>
  <si>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</si>
  <si>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</si>
  <si>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</si>
  <si>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</si>
  <si>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</si>
  <si>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</si>
  <si>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</si>
  <si>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</si>
  <si>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</si>
  <si>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</si>
  <si>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</si>
  <si>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</si>
  <si>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</si>
  <si>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</si>
  <si>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</si>
  <si>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</si>
  <si>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</si>
  <si>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</si>
  <si>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</si>
  <si>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</si>
  <si>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</si>
  <si>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</si>
  <si>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</si>
  <si>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</si>
  <si>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</si>
  <si>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</si>
  <si>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</si>
  <si>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</si>
  <si>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</si>
  <si>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</si>
  <si>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</si>
  <si>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</si>
  <si>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</si>
  <si>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</si>
  <si>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</si>
  <si>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</si>
  <si>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</si>
  <si>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</si>
  <si>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</si>
  <si>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</si>
  <si>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</si>
  <si>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</si>
  <si>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</si>
  <si>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</si>
  <si>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</si>
  <si>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</si>
  <si>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</si>
  <si>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</si>
  <si>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</si>
  <si>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</si>
  <si>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</si>
  <si>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</si>
  <si>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</si>
  <si>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</si>
  <si>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</si>
  <si>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</si>
  <si>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</si>
  <si>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</si>
  <si>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</si>
  <si>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</si>
  <si>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</si>
  <si>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</si>
  <si>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</si>
  <si>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</si>
  <si>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</si>
  <si>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</si>
  <si>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</si>
  <si>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</si>
  <si>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</si>
  <si>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</si>
  <si>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</si>
  <si>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</si>
  <si>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</si>
  <si>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</si>
  <si>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</si>
  <si>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</si>
  <si>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</si>
  <si>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</si>
  <si>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</si>
  <si>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</si>
  <si>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</si>
  <si>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</si>
  <si>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</si>
  <si>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</si>
  <si>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</si>
  <si>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</si>
  <si>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</si>
  <si>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</si>
  <si>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</si>
  <si>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</si>
  <si>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</si>
  <si>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</si>
  <si>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</si>
  <si>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</si>
  <si>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</si>
  <si>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</si>
  <si>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</si>
  <si>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</si>
  <si>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</si>
  <si>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</si>
  <si>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</si>
  <si>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</si>
  <si>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</si>
  <si>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</si>
  <si>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</si>
  <si>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</si>
  <si>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</si>
  <si>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</si>
  <si>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</si>
  <si>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</si>
  <si>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</si>
  <si>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</si>
  <si>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</si>
  <si>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</si>
  <si>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</si>
  <si>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</si>
  <si>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</si>
  <si>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</si>
  <si>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</si>
  <si>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</si>
  <si>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</si>
  <si>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</si>
  <si>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</si>
  <si>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</si>
  <si>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</si>
  <si>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</si>
  <si>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</si>
  <si>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</si>
  <si>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</si>
  <si>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</si>
  <si>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</si>
  <si>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</si>
  <si>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</si>
  <si>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</si>
  <si>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</si>
  <si>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</si>
  <si>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</si>
  <si>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</si>
  <si>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</si>
  <si>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</si>
  <si>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</si>
  <si>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</si>
  <si>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</si>
  <si>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VBA Baltorpplænen Omlægning af ledninger</t>
  </si>
  <si>
    <t>Udvidelse og byggemodning Baltorpplænen, Schæfergården og stiketablering</t>
  </si>
  <si>
    <t>Ingen engangstillæg</t>
  </si>
  <si>
    <t>Afgift for ledningsført vand</t>
  </si>
  <si>
    <t>Afgift til Forsyningssekretariatet</t>
  </si>
  <si>
    <t>Køb af ydelser og produkter fra andre vandselskaber</t>
  </si>
  <si>
    <t>Ejendomsskat</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</si>
  <si>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</si>
  <si>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</si>
  <si>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</si>
  <si>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</si>
  <si>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</si>
  <si>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</si>
  <si>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</si>
  <si>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</si>
  <si>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</si>
  <si>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</si>
  <si>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</si>
  <si>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</si>
  <si>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</si>
  <si>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Afgift på ledningsført vand for vandspild over 10 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</si>
</sst>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4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row r="5">
          <cell r="C5">
            <v>1.0168999999999999</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1" t="s">
        <v>4</v>
      </c>
      <c r="E6" s="91"/>
      <c r="F6" s="91"/>
      <c r="G6" s="91"/>
      <c r="H6" s="3"/>
      <c r="I6" s="1"/>
    </row>
    <row r="7" spans="1:9" ht="15" customHeight="1" x14ac:dyDescent="0.25">
      <c r="A7" s="1"/>
      <c r="B7" s="1"/>
      <c r="C7" s="3"/>
      <c r="D7" s="91"/>
      <c r="E7" s="91"/>
      <c r="F7" s="91"/>
      <c r="G7" s="91"/>
      <c r="H7" s="3"/>
      <c r="I7" s="1"/>
    </row>
    <row r="8" spans="1:9" ht="15.75" x14ac:dyDescent="0.25">
      <c r="A8" s="1"/>
      <c r="B8" s="1"/>
      <c r="C8" s="4"/>
      <c r="D8" s="93" t="s">
        <v>235</v>
      </c>
      <c r="E8" s="93"/>
      <c r="F8" s="93"/>
      <c r="G8" s="93"/>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2" t="s">
        <v>5</v>
      </c>
      <c r="E11" s="92"/>
      <c r="F11" s="92"/>
      <c r="G11" s="92"/>
      <c r="H11" s="5"/>
      <c r="I11" s="1"/>
    </row>
    <row r="12" spans="1:9" x14ac:dyDescent="0.25">
      <c r="A12" s="1"/>
      <c r="B12" s="1"/>
      <c r="C12" s="1"/>
      <c r="D12" s="1"/>
      <c r="E12" s="1"/>
      <c r="F12" s="1"/>
      <c r="G12" s="1"/>
      <c r="H12" s="1"/>
      <c r="I12" s="1"/>
    </row>
    <row r="13" spans="1:9" x14ac:dyDescent="0.25">
      <c r="A13" s="1"/>
      <c r="B13" s="1"/>
      <c r="C13" s="6" t="s">
        <v>6</v>
      </c>
      <c r="D13" s="88" t="s">
        <v>162</v>
      </c>
      <c r="E13" s="89"/>
      <c r="F13" s="89"/>
      <c r="G13" s="90"/>
      <c r="H13" s="1"/>
      <c r="I13" s="1"/>
    </row>
    <row r="14" spans="1:9" x14ac:dyDescent="0.25">
      <c r="A14" s="1"/>
      <c r="B14" s="1"/>
      <c r="C14" s="6" t="s">
        <v>14</v>
      </c>
      <c r="D14" s="88" t="s">
        <v>197</v>
      </c>
      <c r="E14" s="89"/>
      <c r="F14" s="89"/>
      <c r="G14" s="90"/>
      <c r="H14" s="1"/>
      <c r="I14" s="1"/>
    </row>
    <row r="15" spans="1:9" x14ac:dyDescent="0.25">
      <c r="A15" s="1"/>
      <c r="B15" s="1"/>
      <c r="C15" s="6" t="s">
        <v>30</v>
      </c>
      <c r="D15" s="88" t="s">
        <v>141</v>
      </c>
      <c r="E15" s="89"/>
      <c r="F15" s="89"/>
      <c r="G15" s="90"/>
      <c r="H15" s="1"/>
      <c r="I15" s="1"/>
    </row>
    <row r="16" spans="1:9" x14ac:dyDescent="0.25">
      <c r="A16" s="1"/>
      <c r="B16" s="1"/>
      <c r="C16" s="6" t="s">
        <v>31</v>
      </c>
      <c r="D16" s="88" t="s">
        <v>194</v>
      </c>
      <c r="E16" s="89"/>
      <c r="F16" s="89"/>
      <c r="G16" s="90"/>
      <c r="H16" s="1"/>
      <c r="I16" s="1"/>
    </row>
    <row r="17" spans="1:9" x14ac:dyDescent="0.25">
      <c r="A17" s="1"/>
      <c r="B17" s="1"/>
      <c r="C17" s="6" t="s">
        <v>102</v>
      </c>
      <c r="D17" s="88" t="s">
        <v>195</v>
      </c>
      <c r="E17" s="89"/>
      <c r="F17" s="89"/>
      <c r="G17" s="90"/>
      <c r="H17" s="1"/>
      <c r="I17" s="1"/>
    </row>
    <row r="18" spans="1:9" x14ac:dyDescent="0.25">
      <c r="A18" s="1"/>
      <c r="B18" s="1"/>
      <c r="C18" s="6" t="s">
        <v>86</v>
      </c>
      <c r="D18" s="94" t="s">
        <v>79</v>
      </c>
      <c r="E18" s="95"/>
      <c r="F18" s="95"/>
      <c r="G18" s="96"/>
      <c r="H18" s="1"/>
      <c r="I18" s="1"/>
    </row>
    <row r="19" spans="1:9" x14ac:dyDescent="0.25">
      <c r="A19" s="1"/>
      <c r="B19" s="1"/>
      <c r="C19" s="6" t="s">
        <v>87</v>
      </c>
      <c r="D19" s="94" t="s">
        <v>80</v>
      </c>
      <c r="E19" s="95"/>
      <c r="F19" s="95"/>
      <c r="G19" s="96"/>
      <c r="H19" s="1"/>
      <c r="I19" s="1"/>
    </row>
    <row r="20" spans="1:9" x14ac:dyDescent="0.25">
      <c r="A20" s="1"/>
      <c r="B20" s="1"/>
      <c r="C20" s="6" t="s">
        <v>7</v>
      </c>
      <c r="D20" s="94" t="s">
        <v>9</v>
      </c>
      <c r="E20" s="95"/>
      <c r="F20" s="95"/>
      <c r="G20" s="96"/>
      <c r="H20" s="1"/>
      <c r="I20" s="1"/>
    </row>
    <row r="21" spans="1:9" x14ac:dyDescent="0.25">
      <c r="A21" s="1"/>
      <c r="B21" s="1"/>
      <c r="C21" s="6" t="s">
        <v>88</v>
      </c>
      <c r="D21" s="85" t="s">
        <v>11</v>
      </c>
      <c r="E21" s="86"/>
      <c r="F21" s="86"/>
      <c r="G21" s="87"/>
      <c r="H21" s="1"/>
      <c r="I21" s="1"/>
    </row>
    <row r="22" spans="1:9" x14ac:dyDescent="0.25">
      <c r="A22" s="1"/>
      <c r="B22" s="1"/>
      <c r="C22" s="6" t="s">
        <v>73</v>
      </c>
      <c r="D22" s="79" t="s">
        <v>196</v>
      </c>
      <c r="E22" s="80"/>
      <c r="F22" s="80"/>
      <c r="G22" s="81"/>
      <c r="H22" s="1"/>
      <c r="I22" s="1"/>
    </row>
    <row r="23" spans="1:9" x14ac:dyDescent="0.25">
      <c r="A23" s="1"/>
      <c r="B23" s="1"/>
      <c r="C23" s="6" t="s">
        <v>8</v>
      </c>
      <c r="D23" s="79" t="s">
        <v>176</v>
      </c>
      <c r="E23" s="80"/>
      <c r="F23" s="80"/>
      <c r="G23" s="81"/>
      <c r="H23" s="1"/>
      <c r="I23" s="1"/>
    </row>
    <row r="24" spans="1:9" x14ac:dyDescent="0.25">
      <c r="A24" s="1"/>
      <c r="B24" s="1"/>
      <c r="C24" s="6" t="s">
        <v>172</v>
      </c>
      <c r="D24" s="79" t="s">
        <v>163</v>
      </c>
      <c r="E24" s="80"/>
      <c r="F24" s="80"/>
      <c r="G24" s="81"/>
      <c r="H24" s="1"/>
      <c r="I24" s="1"/>
    </row>
    <row r="25" spans="1:9" x14ac:dyDescent="0.25">
      <c r="A25" s="1"/>
      <c r="B25" s="1"/>
      <c r="C25" s="6" t="s">
        <v>173</v>
      </c>
      <c r="D25" s="79" t="s">
        <v>74</v>
      </c>
      <c r="E25" s="80"/>
      <c r="F25" s="80"/>
      <c r="G25" s="81"/>
      <c r="H25" s="1"/>
      <c r="I25" s="1"/>
    </row>
    <row r="26" spans="1:9" x14ac:dyDescent="0.25">
      <c r="A26" s="1"/>
      <c r="B26" s="1"/>
      <c r="C26" s="6" t="s">
        <v>174</v>
      </c>
      <c r="D26" s="79" t="s">
        <v>75</v>
      </c>
      <c r="E26" s="80"/>
      <c r="F26" s="80"/>
      <c r="G26" s="81"/>
      <c r="H26" s="1"/>
      <c r="I26" s="1"/>
    </row>
    <row r="27" spans="1:9" x14ac:dyDescent="0.25">
      <c r="A27" s="1"/>
      <c r="B27" s="1"/>
      <c r="C27" s="6" t="s">
        <v>89</v>
      </c>
      <c r="D27" s="79" t="s">
        <v>103</v>
      </c>
      <c r="E27" s="80"/>
      <c r="F27" s="80"/>
      <c r="G27" s="81"/>
      <c r="H27" s="1"/>
      <c r="I27" s="1"/>
    </row>
    <row r="28" spans="1:9" x14ac:dyDescent="0.25">
      <c r="A28" s="1"/>
      <c r="B28" s="1"/>
      <c r="C28" s="6" t="s">
        <v>83</v>
      </c>
      <c r="D28" s="79" t="s">
        <v>32</v>
      </c>
      <c r="E28" s="80"/>
      <c r="F28" s="80"/>
      <c r="G28" s="81"/>
      <c r="H28" s="1"/>
      <c r="I28" s="1"/>
    </row>
    <row r="29" spans="1:9" x14ac:dyDescent="0.25">
      <c r="A29" s="1"/>
      <c r="B29" s="1"/>
      <c r="C29" s="6" t="s">
        <v>175</v>
      </c>
      <c r="D29" s="82" t="s">
        <v>84</v>
      </c>
      <c r="E29" s="83"/>
      <c r="F29" s="83"/>
      <c r="G29" s="84"/>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0pvFZnny7grGdLjONvNlafVzps5PDm0mOVf+GhGiTjsSoHoPf/hcoumfyu4DxYyrML47LTaYRRHkVDFGWOxXVw==" saltValue="LciZJqeWjVxLsF9KTHOiDg=="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7" t="s">
        <v>92</v>
      </c>
      <c r="C3" s="97"/>
      <c r="D3" s="97"/>
      <c r="E3" s="1"/>
      <c r="F3" s="1"/>
    </row>
    <row r="4" spans="1:6" ht="15" customHeight="1" x14ac:dyDescent="0.25">
      <c r="A4" s="1"/>
      <c r="B4" s="97"/>
      <c r="C4" s="97"/>
      <c r="D4" s="9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1" t="s">
        <v>226</v>
      </c>
      <c r="C8" s="102"/>
      <c r="D8" s="103"/>
      <c r="E8" s="1"/>
      <c r="F8" s="1"/>
    </row>
    <row r="9" spans="1:6" ht="15" customHeight="1" x14ac:dyDescent="0.25">
      <c r="A9" s="1"/>
      <c r="B9" s="32" t="s">
        <v>28</v>
      </c>
      <c r="C9" s="11" t="s">
        <v>212</v>
      </c>
      <c r="D9" s="11"/>
      <c r="E9" s="1"/>
      <c r="F9" s="1"/>
    </row>
    <row r="10" spans="1:6" ht="15" customHeight="1" x14ac:dyDescent="0.25">
      <c r="A10" s="1"/>
      <c r="B10" s="68" t="s">
        <v>246</v>
      </c>
      <c r="C10" s="9">
        <v>19873205</v>
      </c>
      <c r="D10" s="14" t="s">
        <v>3</v>
      </c>
      <c r="E10" s="1"/>
      <c r="F10" s="1"/>
    </row>
    <row r="11" spans="1:6" x14ac:dyDescent="0.25">
      <c r="A11" s="1"/>
      <c r="B11" s="68" t="s">
        <v>247</v>
      </c>
      <c r="C11" s="9">
        <v>129466</v>
      </c>
      <c r="D11" s="14" t="s">
        <v>3</v>
      </c>
      <c r="E11" s="1"/>
      <c r="F11" s="1"/>
    </row>
    <row r="12" spans="1:6" x14ac:dyDescent="0.25">
      <c r="A12" s="1"/>
      <c r="B12" s="68" t="s">
        <v>248</v>
      </c>
      <c r="C12" s="9">
        <v>7793430</v>
      </c>
      <c r="D12" s="14" t="s">
        <v>3</v>
      </c>
      <c r="E12" s="1"/>
      <c r="F12" s="1"/>
    </row>
    <row r="13" spans="1:6" x14ac:dyDescent="0.25">
      <c r="A13" s="1"/>
      <c r="B13" s="68" t="s">
        <v>249</v>
      </c>
      <c r="C13" s="9">
        <v>106526</v>
      </c>
      <c r="D13" s="14" t="s">
        <v>3</v>
      </c>
      <c r="E13" s="1"/>
      <c r="F13" s="1"/>
    </row>
    <row r="14" spans="1:6" x14ac:dyDescent="0.25">
      <c r="A14" s="1"/>
      <c r="B14" s="68" t="s">
        <v>263</v>
      </c>
      <c r="C14" s="9">
        <v>80986</v>
      </c>
      <c r="D14" s="14" t="s">
        <v>3</v>
      </c>
      <c r="E14" s="1"/>
      <c r="F14" s="1"/>
    </row>
    <row r="15" spans="1:6" x14ac:dyDescent="0.25">
      <c r="A15" s="1"/>
      <c r="B15" s="68"/>
      <c r="C15" s="9"/>
      <c r="D15" s="14" t="s">
        <v>3</v>
      </c>
      <c r="E15" s="1"/>
      <c r="F15" s="1"/>
    </row>
    <row r="16" spans="1:6" x14ac:dyDescent="0.25">
      <c r="A16" s="1"/>
      <c r="B16" s="68"/>
      <c r="C16" s="9"/>
      <c r="D16" s="14" t="s">
        <v>3</v>
      </c>
      <c r="E16" s="1"/>
      <c r="F16" s="1"/>
    </row>
    <row r="17" spans="1:6" x14ac:dyDescent="0.25">
      <c r="A17" s="1"/>
      <c r="B17" s="68"/>
      <c r="C17" s="9"/>
      <c r="D17" s="14" t="s">
        <v>3</v>
      </c>
      <c r="E17" s="1"/>
      <c r="F17" s="1"/>
    </row>
    <row r="18" spans="1:6" x14ac:dyDescent="0.25">
      <c r="A18" s="1"/>
      <c r="B18" s="68"/>
      <c r="C18" s="9"/>
      <c r="D18" s="14" t="s">
        <v>3</v>
      </c>
      <c r="E18" s="1"/>
      <c r="F18" s="1"/>
    </row>
    <row r="19" spans="1:6" x14ac:dyDescent="0.25">
      <c r="A19" s="1"/>
      <c r="B19" s="52" t="s">
        <v>213</v>
      </c>
      <c r="C19" s="12">
        <f>SUM(C10:C18)</f>
        <v>27983613</v>
      </c>
      <c r="D19" s="13" t="s">
        <v>3</v>
      </c>
      <c r="E19" s="1"/>
      <c r="F19" s="1"/>
    </row>
    <row r="20" spans="1:6" x14ac:dyDescent="0.25">
      <c r="A20" s="1"/>
      <c r="B20" s="52" t="s">
        <v>214</v>
      </c>
      <c r="C20" s="12">
        <f>C19*(1+'Fane 13. Nøgletal'!C16)^2</f>
        <v>32688459.795976318</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row r="56" spans="1:6" x14ac:dyDescent="0.25">
      <c r="A56" s="44"/>
      <c r="B56" s="44"/>
      <c r="C56" s="44"/>
      <c r="D56" s="44"/>
      <c r="E56" s="44"/>
      <c r="F56" s="44"/>
    </row>
  </sheetData>
  <sheetProtection algorithmName="SHA-512" hashValue="vcW5mcznycnGHRXUtzWEtDWBaCuBbX1TVnj4P2DA8UxPKCGQ2DnjOsnSqJLRPGNNaky0m6uhhq7eSnDTd9tGlQ==" saltValue="h3cSK6J9s27Qk3MNXxd/m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F844-4BE1-4692-A5C2-6C77FA43AAFE}">
  <dimension ref="A1:G45"/>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00" t="s">
        <v>227</v>
      </c>
      <c r="C3" s="100"/>
      <c r="D3" s="100"/>
      <c r="E3" s="100"/>
      <c r="F3" s="100"/>
      <c r="G3" s="1"/>
    </row>
    <row r="4" spans="1:7" ht="15" customHeight="1" x14ac:dyDescent="0.25">
      <c r="A4" s="1"/>
      <c r="B4" s="100"/>
      <c r="C4" s="100"/>
      <c r="D4" s="100"/>
      <c r="E4" s="100"/>
      <c r="F4" s="100"/>
      <c r="G4" s="1"/>
    </row>
    <row r="5" spans="1:7" ht="15" customHeight="1" x14ac:dyDescent="0.25">
      <c r="A5" s="1"/>
      <c r="B5" s="64"/>
      <c r="C5" s="64"/>
      <c r="D5" s="64"/>
      <c r="E5" s="64"/>
      <c r="F5" s="64"/>
      <c r="G5" s="1"/>
    </row>
    <row r="6" spans="1:7" ht="15" customHeight="1" x14ac:dyDescent="0.25">
      <c r="A6" s="1"/>
      <c r="B6" s="1"/>
      <c r="C6" s="59"/>
      <c r="D6" s="60"/>
      <c r="E6" s="64"/>
      <c r="F6" s="64"/>
      <c r="G6" s="1"/>
    </row>
    <row r="7" spans="1:7" x14ac:dyDescent="0.25">
      <c r="A7" s="1"/>
      <c r="B7" s="1"/>
      <c r="C7" s="1"/>
      <c r="D7" s="1"/>
      <c r="E7" s="61"/>
      <c r="F7" s="1"/>
      <c r="G7" s="1"/>
    </row>
    <row r="8" spans="1:7" x14ac:dyDescent="0.25">
      <c r="A8" s="1"/>
      <c r="B8" s="101" t="s">
        <v>250</v>
      </c>
      <c r="C8" s="102"/>
      <c r="D8" s="102"/>
      <c r="E8" s="102"/>
      <c r="F8" s="103"/>
      <c r="G8" s="1"/>
    </row>
    <row r="9" spans="1:7" x14ac:dyDescent="0.25">
      <c r="A9" s="1"/>
      <c r="B9" s="104" t="s">
        <v>251</v>
      </c>
      <c r="C9" s="105"/>
      <c r="D9" s="106"/>
      <c r="E9" s="28">
        <v>-2675020</v>
      </c>
      <c r="F9" s="14" t="s">
        <v>3</v>
      </c>
      <c r="G9" s="1"/>
    </row>
    <row r="10" spans="1:7" x14ac:dyDescent="0.25">
      <c r="A10" s="1"/>
      <c r="B10" s="52"/>
      <c r="C10" s="53"/>
      <c r="D10" s="53"/>
      <c r="E10" s="53"/>
      <c r="F10" s="19"/>
      <c r="G10" s="1"/>
    </row>
    <row r="11" spans="1:7" ht="53.25" customHeight="1" x14ac:dyDescent="0.25">
      <c r="A11" s="1"/>
      <c r="B11" s="119" t="s">
        <v>252</v>
      </c>
      <c r="C11" s="120"/>
      <c r="D11" s="120"/>
      <c r="E11" s="120"/>
      <c r="F11" s="121"/>
      <c r="G11" s="1"/>
    </row>
    <row r="12" spans="1:7" x14ac:dyDescent="0.25">
      <c r="A12" s="1"/>
      <c r="B12" s="1"/>
      <c r="C12" s="1"/>
      <c r="D12" s="1"/>
      <c r="E12" s="1"/>
      <c r="F12" s="1"/>
      <c r="G12" s="1"/>
    </row>
    <row r="13" spans="1:7" x14ac:dyDescent="0.25">
      <c r="A13" s="1"/>
      <c r="B13" s="101" t="s">
        <v>140</v>
      </c>
      <c r="C13" s="102"/>
      <c r="D13" s="102"/>
      <c r="E13" s="102"/>
      <c r="F13" s="103"/>
      <c r="G13" s="1"/>
    </row>
    <row r="14" spans="1:7" x14ac:dyDescent="0.25">
      <c r="A14" s="1"/>
      <c r="B14" s="104" t="s">
        <v>253</v>
      </c>
      <c r="C14" s="105"/>
      <c r="D14" s="106"/>
      <c r="E14" s="9">
        <v>-1337510</v>
      </c>
      <c r="F14" s="14" t="s">
        <v>3</v>
      </c>
      <c r="G14" s="1"/>
    </row>
    <row r="15" spans="1:7" x14ac:dyDescent="0.25">
      <c r="A15" s="1"/>
      <c r="B15" s="104" t="s">
        <v>254</v>
      </c>
      <c r="C15" s="105"/>
      <c r="D15" s="106"/>
      <c r="E15" s="9">
        <v>-1337510</v>
      </c>
      <c r="F15" s="14" t="s">
        <v>3</v>
      </c>
      <c r="G15" s="1"/>
    </row>
    <row r="16" spans="1:7" x14ac:dyDescent="0.25">
      <c r="A16" s="1"/>
      <c r="B16" s="52"/>
      <c r="C16" s="53"/>
      <c r="D16" s="53"/>
      <c r="E16" s="53"/>
      <c r="F16" s="19"/>
      <c r="G16" s="1"/>
    </row>
    <row r="17" spans="1:7" ht="32.25" customHeight="1" x14ac:dyDescent="0.25">
      <c r="A17" s="1"/>
      <c r="B17" s="119" t="s">
        <v>255</v>
      </c>
      <c r="C17" s="120"/>
      <c r="D17" s="120"/>
      <c r="E17" s="120"/>
      <c r="F17" s="121"/>
      <c r="G17" s="1"/>
    </row>
    <row r="18" spans="1:7" x14ac:dyDescent="0.25">
      <c r="A18" s="1"/>
      <c r="B18" s="1"/>
      <c r="C18" s="1"/>
      <c r="D18" s="1"/>
      <c r="E18" s="1"/>
      <c r="F18" s="1"/>
      <c r="G18" s="1"/>
    </row>
    <row r="19" spans="1:7" x14ac:dyDescent="0.25">
      <c r="A19" s="1"/>
      <c r="B19" s="69" t="s">
        <v>256</v>
      </c>
      <c r="C19" s="70"/>
      <c r="D19" s="70"/>
      <c r="E19" s="70"/>
      <c r="F19" s="71"/>
      <c r="G19" s="1"/>
    </row>
    <row r="20" spans="1:7" x14ac:dyDescent="0.25">
      <c r="A20" s="1"/>
      <c r="B20" s="65" t="s">
        <v>257</v>
      </c>
      <c r="C20" s="66"/>
      <c r="D20" s="67"/>
      <c r="E20" s="9">
        <v>53905480</v>
      </c>
      <c r="F20" s="14" t="s">
        <v>3</v>
      </c>
      <c r="G20" s="1"/>
    </row>
    <row r="21" spans="1:7" x14ac:dyDescent="0.25">
      <c r="A21" s="1"/>
      <c r="B21" s="65" t="s">
        <v>258</v>
      </c>
      <c r="C21" s="66"/>
      <c r="D21" s="67"/>
      <c r="E21" s="9">
        <v>52067506</v>
      </c>
      <c r="F21" s="14" t="s">
        <v>3</v>
      </c>
      <c r="G21" s="1"/>
    </row>
    <row r="22" spans="1:7" x14ac:dyDescent="0.25">
      <c r="A22" s="1"/>
      <c r="B22" s="65" t="s">
        <v>29</v>
      </c>
      <c r="C22" s="66"/>
      <c r="D22" s="67"/>
      <c r="E22" s="9">
        <v>0</v>
      </c>
      <c r="F22" s="14" t="s">
        <v>3</v>
      </c>
      <c r="G22" s="1"/>
    </row>
    <row r="23" spans="1:7" x14ac:dyDescent="0.25">
      <c r="A23" s="1"/>
      <c r="B23" s="73" t="s">
        <v>259</v>
      </c>
      <c r="C23" s="74"/>
      <c r="D23" s="75"/>
      <c r="E23" s="10">
        <f>E20-(E21-E22)</f>
        <v>1837974</v>
      </c>
      <c r="F23" s="17" t="s">
        <v>3</v>
      </c>
      <c r="G23" s="1"/>
    </row>
    <row r="24" spans="1:7" x14ac:dyDescent="0.25">
      <c r="A24" s="1"/>
      <c r="B24" s="52"/>
      <c r="C24" s="53"/>
      <c r="D24" s="53"/>
      <c r="E24" s="53"/>
      <c r="F24" s="19"/>
      <c r="G24" s="1"/>
    </row>
    <row r="25" spans="1:7" x14ac:dyDescent="0.25">
      <c r="A25" s="1"/>
      <c r="B25" s="1"/>
      <c r="C25" s="1"/>
      <c r="D25" s="1"/>
      <c r="E25" s="1"/>
      <c r="F25" s="1"/>
      <c r="G25" s="1"/>
    </row>
    <row r="26" spans="1:7" x14ac:dyDescent="0.25">
      <c r="A26" s="1"/>
      <c r="B26" s="101" t="s">
        <v>260</v>
      </c>
      <c r="C26" s="102"/>
      <c r="D26" s="102"/>
      <c r="E26" s="102"/>
      <c r="F26" s="103"/>
      <c r="G26" s="1"/>
    </row>
    <row r="27" spans="1:7" x14ac:dyDescent="0.25">
      <c r="A27" s="1"/>
      <c r="B27" s="129" t="s">
        <v>261</v>
      </c>
      <c r="C27" s="130"/>
      <c r="D27" s="131"/>
      <c r="E27" s="62">
        <f>IF(AND(E15&lt;0,E23&gt;0,ABS(SUM(E14:E15))&lt;E23),ABS(E14),IF(AND(E15&lt;0,E23&gt;0,ABS(SUM(E14:E15))&gt;E23),SUM(E14,E23),0))</f>
        <v>500464</v>
      </c>
      <c r="F27" s="17" t="s">
        <v>3</v>
      </c>
      <c r="G27" s="1"/>
    </row>
    <row r="28" spans="1:7" x14ac:dyDescent="0.25">
      <c r="A28" s="1"/>
      <c r="B28" s="101"/>
      <c r="C28" s="102"/>
      <c r="D28" s="102"/>
      <c r="E28" s="102"/>
      <c r="F28" s="103"/>
      <c r="G28" s="1"/>
    </row>
    <row r="29" spans="1:7" x14ac:dyDescent="0.25">
      <c r="A29" s="1"/>
      <c r="B29" s="1"/>
      <c r="C29" s="1"/>
      <c r="D29" s="1"/>
      <c r="E29" s="1"/>
      <c r="F29" s="1"/>
      <c r="G29" s="1"/>
    </row>
    <row r="30" spans="1:7" x14ac:dyDescent="0.25">
      <c r="A30" s="1"/>
      <c r="B30" s="101" t="s">
        <v>262</v>
      </c>
      <c r="C30" s="102"/>
      <c r="D30" s="102"/>
      <c r="E30" s="102"/>
      <c r="F30" s="103"/>
      <c r="G30" s="1"/>
    </row>
    <row r="31" spans="1:7" x14ac:dyDescent="0.25">
      <c r="A31" s="1"/>
      <c r="B31" s="122" t="s">
        <v>117</v>
      </c>
      <c r="C31" s="123"/>
      <c r="D31" s="124"/>
      <c r="E31" s="63">
        <f>IF(AND(E9&gt;0,(E9+E23)&gt;0),0,IF(AND(E9&gt;0,(E9+E23)&lt;0),(E9+E23),IF(AND(E9&lt;0,E23&lt;0),E23,0)))</f>
        <v>0</v>
      </c>
      <c r="F31" s="14" t="s">
        <v>3</v>
      </c>
      <c r="G31" s="1"/>
    </row>
    <row r="32" spans="1:7" x14ac:dyDescent="0.25">
      <c r="A32" s="1"/>
      <c r="B32" s="122" t="s">
        <v>85</v>
      </c>
      <c r="C32" s="123"/>
      <c r="D32" s="124"/>
      <c r="E32" s="9">
        <v>2</v>
      </c>
      <c r="F32" s="14" t="s">
        <v>18</v>
      </c>
      <c r="G32" s="1"/>
    </row>
    <row r="33" spans="1:7" x14ac:dyDescent="0.25">
      <c r="A33" s="1"/>
      <c r="B33" s="125" t="s">
        <v>116</v>
      </c>
      <c r="C33" s="125"/>
      <c r="D33" s="125"/>
      <c r="E33" s="62">
        <f>E31/E32</f>
        <v>0</v>
      </c>
      <c r="F33" s="17" t="s">
        <v>3</v>
      </c>
      <c r="G33" s="1"/>
    </row>
    <row r="34" spans="1:7" x14ac:dyDescent="0.25">
      <c r="A34" s="1"/>
      <c r="B34" s="126"/>
      <c r="C34" s="127"/>
      <c r="D34" s="127"/>
      <c r="E34" s="127"/>
      <c r="F34" s="128"/>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yRBM15YoJsSNZYsIE8NI1GcFm6Twgw6TRYPdatGKGwbONA2o0augXSWyvAuoNNGe7sWJ5TJhgsWvUmzevs4flA==" saltValue="WwtsXVyzkkUhe+gTMe7C5w==" spinCount="100000" sheet="1" objects="1" scenarios="1"/>
  <mergeCells count="16">
    <mergeCell ref="B31:D31"/>
    <mergeCell ref="B32:D32"/>
    <mergeCell ref="B33:D33"/>
    <mergeCell ref="B34:F34"/>
    <mergeCell ref="B15:D15"/>
    <mergeCell ref="B17:F17"/>
    <mergeCell ref="B26:F26"/>
    <mergeCell ref="B27:D27"/>
    <mergeCell ref="B28:F28"/>
    <mergeCell ref="B30:F30"/>
    <mergeCell ref="B14:D14"/>
    <mergeCell ref="B3:F4"/>
    <mergeCell ref="B8:F8"/>
    <mergeCell ref="B9:D9"/>
    <mergeCell ref="B11:F11"/>
    <mergeCell ref="B13:F13"/>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7" t="s">
        <v>183</v>
      </c>
      <c r="C3" s="97"/>
      <c r="D3" s="97"/>
      <c r="E3" s="97"/>
      <c r="F3" s="97"/>
      <c r="G3" s="97"/>
      <c r="H3" s="97"/>
      <c r="I3" s="1"/>
    </row>
    <row r="4" spans="1:9" ht="15" customHeight="1" x14ac:dyDescent="0.25">
      <c r="A4" s="1"/>
      <c r="B4" s="97"/>
      <c r="C4" s="97"/>
      <c r="D4" s="97"/>
      <c r="E4" s="97"/>
      <c r="F4" s="97"/>
      <c r="G4" s="97"/>
      <c r="H4" s="9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1" t="s">
        <v>184</v>
      </c>
      <c r="C8" s="102"/>
      <c r="D8" s="102"/>
      <c r="E8" s="102"/>
      <c r="F8" s="102"/>
      <c r="G8" s="102"/>
      <c r="H8" s="103"/>
      <c r="I8" s="1"/>
    </row>
    <row r="9" spans="1:9" ht="15" customHeight="1" x14ac:dyDescent="0.25">
      <c r="A9" s="1"/>
      <c r="B9" s="132" t="s">
        <v>234</v>
      </c>
      <c r="C9" s="133"/>
      <c r="D9" s="133"/>
      <c r="E9" s="133"/>
      <c r="F9" s="133"/>
      <c r="G9" s="133"/>
      <c r="H9" s="134"/>
      <c r="I9" s="1"/>
    </row>
    <row r="10" spans="1:9" x14ac:dyDescent="0.25">
      <c r="A10" s="1"/>
      <c r="B10" s="135" t="s">
        <v>185</v>
      </c>
      <c r="C10" s="136"/>
      <c r="D10" s="136"/>
      <c r="E10" s="136"/>
      <c r="F10" s="137"/>
      <c r="G10" s="45"/>
      <c r="H10" s="9" t="s">
        <v>3</v>
      </c>
      <c r="I10" s="1"/>
    </row>
    <row r="11" spans="1:9" x14ac:dyDescent="0.25">
      <c r="A11" s="1"/>
      <c r="B11" s="135" t="s">
        <v>186</v>
      </c>
      <c r="C11" s="136"/>
      <c r="D11" s="136"/>
      <c r="E11" s="136"/>
      <c r="F11" s="137"/>
      <c r="G11" s="45"/>
      <c r="H11" s="9" t="s">
        <v>3</v>
      </c>
      <c r="I11" s="1"/>
    </row>
    <row r="12" spans="1:9" x14ac:dyDescent="0.25">
      <c r="A12" s="1"/>
      <c r="B12" s="135" t="s">
        <v>187</v>
      </c>
      <c r="C12" s="136"/>
      <c r="D12" s="136"/>
      <c r="E12" s="136"/>
      <c r="F12" s="137"/>
      <c r="G12" s="9"/>
      <c r="H12" s="9" t="s">
        <v>3</v>
      </c>
      <c r="I12" s="1"/>
    </row>
    <row r="13" spans="1:9" x14ac:dyDescent="0.25">
      <c r="A13" s="1"/>
      <c r="B13" s="135" t="s">
        <v>188</v>
      </c>
      <c r="C13" s="136"/>
      <c r="D13" s="136"/>
      <c r="E13" s="136"/>
      <c r="F13" s="137"/>
      <c r="G13" s="9"/>
      <c r="H13" s="9" t="s">
        <v>3</v>
      </c>
      <c r="I13" s="1"/>
    </row>
    <row r="14" spans="1:9" x14ac:dyDescent="0.25">
      <c r="A14" s="1"/>
      <c r="B14" s="135" t="s">
        <v>189</v>
      </c>
      <c r="C14" s="136"/>
      <c r="D14" s="136"/>
      <c r="E14" s="136"/>
      <c r="F14" s="137"/>
      <c r="G14" s="9"/>
      <c r="H14" s="9" t="s">
        <v>3</v>
      </c>
      <c r="I14" s="1"/>
    </row>
    <row r="15" spans="1:9" x14ac:dyDescent="0.25">
      <c r="A15" s="1"/>
      <c r="B15" s="135" t="s">
        <v>190</v>
      </c>
      <c r="C15" s="136"/>
      <c r="D15" s="136"/>
      <c r="E15" s="136"/>
      <c r="F15" s="137"/>
      <c r="G15" s="9"/>
      <c r="H15" s="9" t="s">
        <v>3</v>
      </c>
      <c r="I15" s="1"/>
    </row>
    <row r="16" spans="1:9" x14ac:dyDescent="0.25">
      <c r="A16" s="1"/>
      <c r="B16" s="135" t="s">
        <v>191</v>
      </c>
      <c r="C16" s="136"/>
      <c r="D16" s="136"/>
      <c r="E16" s="136"/>
      <c r="F16" s="137"/>
      <c r="G16" s="9"/>
      <c r="H16" s="9" t="s">
        <v>3</v>
      </c>
      <c r="I16" s="1"/>
    </row>
    <row r="17" spans="1:9" x14ac:dyDescent="0.25">
      <c r="A17" s="1"/>
      <c r="B17" s="135" t="s">
        <v>192</v>
      </c>
      <c r="C17" s="136"/>
      <c r="D17" s="136"/>
      <c r="E17" s="136"/>
      <c r="F17" s="137"/>
      <c r="G17" s="9"/>
      <c r="H17" s="9" t="s">
        <v>3</v>
      </c>
      <c r="I17" s="1"/>
    </row>
    <row r="18" spans="1:9" x14ac:dyDescent="0.25">
      <c r="A18" s="1"/>
      <c r="B18" s="101" t="s">
        <v>193</v>
      </c>
      <c r="C18" s="102"/>
      <c r="D18" s="102"/>
      <c r="E18" s="102"/>
      <c r="F18" s="103"/>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gQK7gdsxXln853OxER5DpNVE9nsK5HoXaG2lTmDOaIakWSr99v5E0P8RP609uTjIHdrV0Zj421Hre2w3+YwhZw==" saltValue="lkB9nhBXOEHEzg+/n88Ulw=="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7" t="s">
        <v>177</v>
      </c>
      <c r="C3" s="97"/>
      <c r="D3" s="97"/>
      <c r="E3" s="97"/>
      <c r="F3" s="97"/>
      <c r="G3" s="97"/>
      <c r="H3" s="97"/>
      <c r="I3" s="97"/>
      <c r="J3" s="97"/>
      <c r="K3" s="97"/>
      <c r="L3" s="1"/>
    </row>
    <row r="4" spans="1:12" ht="15" customHeight="1" x14ac:dyDescent="0.25">
      <c r="A4" s="1"/>
      <c r="B4" s="97"/>
      <c r="C4" s="97"/>
      <c r="D4" s="97"/>
      <c r="E4" s="97"/>
      <c r="F4" s="97"/>
      <c r="G4" s="97"/>
      <c r="H4" s="97"/>
      <c r="I4" s="97"/>
      <c r="J4" s="97"/>
      <c r="K4" s="9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1" t="s">
        <v>155</v>
      </c>
      <c r="C8" s="102"/>
      <c r="D8" s="102"/>
      <c r="E8" s="102"/>
      <c r="F8" s="102"/>
      <c r="G8" s="102"/>
      <c r="H8" s="102"/>
      <c r="I8" s="102"/>
      <c r="J8" s="102"/>
      <c r="K8" s="103"/>
      <c r="L8" s="1"/>
    </row>
    <row r="9" spans="1:12" ht="39.75" customHeight="1" x14ac:dyDescent="0.25">
      <c r="A9" s="1"/>
      <c r="B9" s="18" t="s">
        <v>0</v>
      </c>
      <c r="C9" s="18" t="s">
        <v>1</v>
      </c>
      <c r="D9" s="138" t="s">
        <v>170</v>
      </c>
      <c r="E9" s="139"/>
      <c r="F9" s="138" t="s">
        <v>2</v>
      </c>
      <c r="G9" s="139"/>
      <c r="H9" s="138" t="s">
        <v>171</v>
      </c>
      <c r="I9" s="139"/>
      <c r="J9" s="138" t="s">
        <v>26</v>
      </c>
      <c r="K9" s="139"/>
      <c r="L9" s="1"/>
    </row>
    <row r="10" spans="1:12" x14ac:dyDescent="0.25">
      <c r="A10" s="1"/>
      <c r="B10" s="78" t="s">
        <v>238</v>
      </c>
      <c r="C10" s="31">
        <v>0</v>
      </c>
      <c r="D10" s="9">
        <v>0</v>
      </c>
      <c r="E10" s="14" t="s">
        <v>3</v>
      </c>
      <c r="F10" s="56">
        <f>IFERROR(D10/C10,0)</f>
        <v>0</v>
      </c>
      <c r="G10" s="14" t="s">
        <v>3</v>
      </c>
      <c r="H10" s="9">
        <v>0</v>
      </c>
      <c r="I10" s="14" t="s">
        <v>3</v>
      </c>
      <c r="J10" s="9">
        <v>0</v>
      </c>
      <c r="K10" s="14" t="s">
        <v>3</v>
      </c>
      <c r="L10" s="1"/>
    </row>
    <row r="11" spans="1:12" x14ac:dyDescent="0.25">
      <c r="A11" s="1"/>
      <c r="B11" s="52" t="s">
        <v>215</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Is/oSfgPAHCVvewdwgO1E+AfgvhpTRhrj2bH/Vxw+9wC6+ytCbTOSTebDndNjf3vYkX/U074oJi3M4tc88nI1Q==" saltValue="BW45PZNrSGw9fndKhL1ZD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178</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70</v>
      </c>
      <c r="C8" s="53"/>
      <c r="D8" s="53"/>
      <c r="E8" s="53"/>
      <c r="F8" s="19"/>
      <c r="G8" s="1"/>
    </row>
    <row r="9" spans="1:7" ht="17.25" customHeight="1" x14ac:dyDescent="0.25">
      <c r="A9" s="1"/>
      <c r="B9" s="76" t="s">
        <v>15</v>
      </c>
      <c r="C9" s="76" t="s">
        <v>10</v>
      </c>
      <c r="D9" s="77"/>
      <c r="E9" s="76"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243</v>
      </c>
      <c r="C11" s="21">
        <v>0</v>
      </c>
      <c r="D11" s="14" t="s">
        <v>3</v>
      </c>
      <c r="E11" s="9">
        <v>11173</v>
      </c>
      <c r="F11" s="14" t="s">
        <v>3</v>
      </c>
      <c r="G11" s="1"/>
    </row>
    <row r="12" spans="1:7" x14ac:dyDescent="0.25">
      <c r="A12" s="1"/>
      <c r="B12" s="27" t="s">
        <v>244</v>
      </c>
      <c r="C12" s="21">
        <v>318699</v>
      </c>
      <c r="D12" s="14" t="s">
        <v>3</v>
      </c>
      <c r="E12" s="9">
        <v>54342</v>
      </c>
      <c r="F12" s="14" t="s">
        <v>3</v>
      </c>
      <c r="G12" s="1"/>
    </row>
    <row r="13" spans="1:7" x14ac:dyDescent="0.25">
      <c r="A13" s="1"/>
      <c r="B13" s="27"/>
      <c r="C13" s="21"/>
      <c r="D13" s="14" t="s">
        <v>3</v>
      </c>
      <c r="E13" s="9"/>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2" t="s">
        <v>151</v>
      </c>
      <c r="C17" s="12">
        <f>SUM(C10:C16)</f>
        <v>318699</v>
      </c>
      <c r="D17" s="13" t="s">
        <v>3</v>
      </c>
      <c r="E17" s="12">
        <f>SUM(E10:E16)</f>
        <v>65515</v>
      </c>
      <c r="F17" s="13" t="s">
        <v>3</v>
      </c>
      <c r="G17" s="1"/>
    </row>
    <row r="18" spans="1:7" x14ac:dyDescent="0.25">
      <c r="A18" s="1"/>
      <c r="B18" s="52" t="s">
        <v>209</v>
      </c>
      <c r="C18" s="12">
        <f>C17*(1+'Fane 13. Nøgletal'!C16)</f>
        <v>344449.87919999997</v>
      </c>
      <c r="D18" s="13" t="s">
        <v>3</v>
      </c>
      <c r="E18" s="12">
        <f>E17*(1+'Fane 13. Nøgletal'!C16)</f>
        <v>70808.611999999994</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KVN0nfim4JOl5nW06iXTsb/K6PChGVgw0hu09mezvZt5lNGZLJuztRKUP7jebyXtDCKC0IKCDCfYVQt71KZ84A==" saltValue="bW7Y4k1sSO2MRgzrXU57O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179</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1" t="s">
        <v>217</v>
      </c>
      <c r="C9" s="102"/>
      <c r="D9" s="102"/>
      <c r="E9" s="102"/>
      <c r="F9" s="103"/>
      <c r="G9" s="1"/>
    </row>
    <row r="10" spans="1:7" ht="26.25" x14ac:dyDescent="0.25">
      <c r="A10" s="1"/>
      <c r="B10" s="76" t="s">
        <v>15</v>
      </c>
      <c r="C10" s="76" t="s">
        <v>10</v>
      </c>
      <c r="D10" s="77"/>
      <c r="E10" s="76" t="s">
        <v>27</v>
      </c>
      <c r="F10" s="30"/>
      <c r="G10" s="1"/>
    </row>
    <row r="11" spans="1:7" x14ac:dyDescent="0.25">
      <c r="A11" s="1"/>
      <c r="B11" s="23" t="s">
        <v>245</v>
      </c>
      <c r="C11" s="21"/>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2" t="s">
        <v>218</v>
      </c>
      <c r="C14" s="12">
        <f>SUM(C11:C13)</f>
        <v>0</v>
      </c>
      <c r="D14" s="13" t="s">
        <v>3</v>
      </c>
      <c r="E14" s="12">
        <f>SUM(E11:E13)</f>
        <v>0</v>
      </c>
      <c r="F14" s="13" t="s">
        <v>3</v>
      </c>
      <c r="G14" s="1"/>
    </row>
    <row r="15" spans="1:7" x14ac:dyDescent="0.25">
      <c r="A15" s="1"/>
      <c r="B15" s="52"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nnT/CvZsf+w9IWRmJ58709/DD7D5nstJP1C8S84iQlMy0IOK3rwX9kChsd+MaoYYSf9iU9Ghv21aXSZhRM7YPw==" saltValue="wE0EBDnuBTHwsyOQd3Wagw=="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180</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1" t="s">
        <v>104</v>
      </c>
      <c r="C8" s="102"/>
      <c r="D8" s="102"/>
      <c r="E8" s="102"/>
      <c r="F8" s="103"/>
      <c r="G8" s="1"/>
    </row>
    <row r="9" spans="1:7" ht="15" customHeight="1" x14ac:dyDescent="0.25">
      <c r="A9" s="1"/>
      <c r="B9" s="54" t="s">
        <v>105</v>
      </c>
      <c r="C9" s="132" t="s">
        <v>10</v>
      </c>
      <c r="D9" s="134"/>
      <c r="E9" s="132" t="s">
        <v>27</v>
      </c>
      <c r="F9" s="134"/>
      <c r="G9" s="1"/>
    </row>
    <row r="10" spans="1:7" ht="26.25" x14ac:dyDescent="0.25">
      <c r="A10" s="1"/>
      <c r="B10" s="58"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orPcTf6OXcVo6Bc0H31cEusMGJQgdJE6eqiBx+D2P3wy7PD5U8c/ec91yCwU8xxu1BJfeULMTM6Xqb59Crrjmg==" saltValue="6zDub9+1Kfons+ESWUHEUw=="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181</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1" t="s">
        <v>237</v>
      </c>
      <c r="C10" s="102"/>
      <c r="D10" s="102"/>
      <c r="E10" s="102"/>
      <c r="F10" s="103"/>
      <c r="G10" s="1"/>
    </row>
    <row r="11" spans="1:7" ht="26.25" x14ac:dyDescent="0.25">
      <c r="A11" s="1"/>
      <c r="B11" s="54" t="s">
        <v>16</v>
      </c>
      <c r="C11" s="54" t="s">
        <v>10</v>
      </c>
      <c r="D11" s="30"/>
      <c r="E11" s="54" t="s">
        <v>27</v>
      </c>
      <c r="F11" s="30"/>
      <c r="G11" s="1"/>
    </row>
    <row r="12" spans="1:7" x14ac:dyDescent="0.25">
      <c r="A12" s="1"/>
      <c r="B12" s="58" t="s">
        <v>242</v>
      </c>
      <c r="C12" s="9">
        <v>0</v>
      </c>
      <c r="D12" s="14" t="s">
        <v>3</v>
      </c>
      <c r="E12" s="9">
        <v>0</v>
      </c>
      <c r="F12" s="14" t="s">
        <v>3</v>
      </c>
      <c r="G12" s="1"/>
    </row>
    <row r="13" spans="1:7" x14ac:dyDescent="0.25">
      <c r="A13" s="1"/>
      <c r="B13" s="52" t="s">
        <v>78</v>
      </c>
      <c r="C13" s="12">
        <f>SUM(C12:C12)</f>
        <v>0</v>
      </c>
      <c r="D13" s="13" t="s">
        <v>3</v>
      </c>
      <c r="E13" s="12">
        <f>SUM(E12:E12)</f>
        <v>0</v>
      </c>
      <c r="F13" s="13" t="s">
        <v>3</v>
      </c>
      <c r="G13" s="1"/>
    </row>
    <row r="14" spans="1:7" x14ac:dyDescent="0.25">
      <c r="A14" s="1"/>
      <c r="B14" s="52"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R8dHVW/wRRocxhXliwGd31Db9SGwbOU0M1pdlXlBKnVRlmKZgBHLoiuLVLlG8yMovNWPAmSthc9shMLwQVdWEg==" saltValue="6E27oq1ea7gJtIxESkXXYw=="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100" t="s">
        <v>182</v>
      </c>
      <c r="C3" s="100"/>
      <c r="D3" s="1"/>
    </row>
    <row r="4" spans="1:4" ht="25.5" customHeight="1" x14ac:dyDescent="0.25">
      <c r="A4" s="1"/>
      <c r="B4" s="100"/>
      <c r="C4" s="100"/>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2" t="s">
        <v>13</v>
      </c>
      <c r="C8" s="39"/>
      <c r="D8" s="1"/>
    </row>
    <row r="9" spans="1:4" x14ac:dyDescent="0.25">
      <c r="A9" s="1"/>
      <c r="B9" s="68" t="s">
        <v>93</v>
      </c>
      <c r="C9" s="40">
        <v>1.2699999999999999E-2</v>
      </c>
      <c r="D9" s="1"/>
    </row>
    <row r="10" spans="1:4" x14ac:dyDescent="0.25">
      <c r="A10" s="1"/>
      <c r="B10" s="68" t="s">
        <v>21</v>
      </c>
      <c r="C10" s="40">
        <v>1.7500000000000002E-2</v>
      </c>
      <c r="D10" s="1"/>
    </row>
    <row r="11" spans="1:4" x14ac:dyDescent="0.25">
      <c r="A11" s="1"/>
      <c r="B11" s="68"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1"/>
      <c r="C17" s="103"/>
      <c r="D17" s="1"/>
    </row>
    <row r="18" spans="1:4" x14ac:dyDescent="0.25">
      <c r="A18" s="1"/>
      <c r="B18" s="1"/>
      <c r="C18" s="38"/>
      <c r="D18" s="1"/>
    </row>
    <row r="19" spans="1:4" x14ac:dyDescent="0.25">
      <c r="A19" s="1"/>
      <c r="B19" s="1"/>
      <c r="C19" s="38"/>
      <c r="D19" s="1"/>
    </row>
    <row r="20" spans="1:4" x14ac:dyDescent="0.25">
      <c r="A20" s="1"/>
      <c r="B20" s="52" t="s">
        <v>81</v>
      </c>
      <c r="C20" s="39"/>
      <c r="D20" s="1"/>
    </row>
    <row r="21" spans="1:4" x14ac:dyDescent="0.25">
      <c r="A21" s="1"/>
      <c r="B21" s="68" t="s">
        <v>95</v>
      </c>
      <c r="C21" s="42">
        <v>9.1000000000000004E-3</v>
      </c>
      <c r="D21" s="1"/>
    </row>
    <row r="22" spans="1:4" x14ac:dyDescent="0.25">
      <c r="A22" s="1"/>
      <c r="B22" s="68" t="s">
        <v>96</v>
      </c>
      <c r="C22" s="42">
        <v>1.77E-2</v>
      </c>
      <c r="D22" s="1"/>
    </row>
    <row r="23" spans="1:4" x14ac:dyDescent="0.25">
      <c r="A23" s="1"/>
      <c r="B23" s="68" t="s">
        <v>97</v>
      </c>
      <c r="C23" s="42">
        <v>8.6999999999999994E-3</v>
      </c>
      <c r="D23" s="1"/>
    </row>
    <row r="24" spans="1:4" x14ac:dyDescent="0.25">
      <c r="A24" s="1"/>
      <c r="B24" s="68" t="s">
        <v>98</v>
      </c>
      <c r="C24" s="42">
        <v>2.8400000000000002E-2</v>
      </c>
      <c r="D24" s="1"/>
    </row>
    <row r="25" spans="1:4" x14ac:dyDescent="0.25">
      <c r="A25" s="1"/>
      <c r="B25" s="68" t="s">
        <v>111</v>
      </c>
      <c r="C25" s="42">
        <v>2.75E-2</v>
      </c>
      <c r="D25" s="1"/>
    </row>
    <row r="26" spans="1:4" x14ac:dyDescent="0.25">
      <c r="A26" s="1"/>
      <c r="B26" s="68"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2"/>
      <c r="C29" s="39"/>
      <c r="D29" s="1"/>
    </row>
    <row r="30" spans="1:4" x14ac:dyDescent="0.25">
      <c r="A30" s="1"/>
      <c r="B30" s="1"/>
      <c r="C30" s="38"/>
      <c r="D30" s="1"/>
    </row>
    <row r="31" spans="1:4" x14ac:dyDescent="0.25">
      <c r="A31" s="1"/>
      <c r="B31" s="1"/>
      <c r="C31" s="38"/>
      <c r="D31" s="1"/>
    </row>
    <row r="32" spans="1:4" x14ac:dyDescent="0.25">
      <c r="A32" s="1"/>
      <c r="B32" s="52" t="s">
        <v>82</v>
      </c>
      <c r="C32" s="39"/>
      <c r="D32" s="1"/>
    </row>
    <row r="33" spans="1:4" x14ac:dyDescent="0.25">
      <c r="A33" s="1"/>
      <c r="B33" s="68" t="s">
        <v>99</v>
      </c>
      <c r="C33" s="40">
        <v>0.02</v>
      </c>
      <c r="D33" s="1"/>
    </row>
    <row r="34" spans="1:4" x14ac:dyDescent="0.25">
      <c r="A34" s="1"/>
      <c r="B34" s="52"/>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EWTZdru857QEJMtypRe32rP6FbLyYdYqjHU5eVf2xVSlnwQ9JqyHB42AaL1B+Uj7stbIfYGGcwKmeHeweKuIBw==" saltValue="6RqHHp7CADGnzyVFNNa3pQ=="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198</v>
      </c>
      <c r="C3" s="97"/>
      <c r="D3" s="97"/>
      <c r="E3" s="1"/>
    </row>
    <row r="4" spans="1:5" ht="15" customHeight="1"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2" t="s">
        <v>12</v>
      </c>
      <c r="C7" s="53"/>
      <c r="D7" s="19"/>
      <c r="E7" s="1"/>
    </row>
    <row r="8" spans="1:5" x14ac:dyDescent="0.25">
      <c r="A8" s="1"/>
      <c r="B8" s="55" t="s">
        <v>109</v>
      </c>
      <c r="C8" s="7">
        <f>'Fane 3. Omkostninger i ØR2023'!C19</f>
        <v>27881763.482715812</v>
      </c>
      <c r="D8" s="8" t="s">
        <v>3</v>
      </c>
      <c r="E8" s="1"/>
    </row>
    <row r="9" spans="1:5" ht="17.100000000000001" customHeight="1" x14ac:dyDescent="0.25">
      <c r="A9" s="1"/>
      <c r="B9" s="24" t="s">
        <v>33</v>
      </c>
      <c r="C9" s="7">
        <f>'Fane 10.1. Varige tillæg'!C18</f>
        <v>344449.87919999997</v>
      </c>
      <c r="D9" s="8" t="s">
        <v>3</v>
      </c>
      <c r="E9" s="1"/>
    </row>
    <row r="10" spans="1:5" ht="17.100000000000001" customHeight="1" x14ac:dyDescent="0.25">
      <c r="A10" s="1"/>
      <c r="B10" s="24" t="s">
        <v>34</v>
      </c>
      <c r="C10" s="9">
        <f>'Fane 10.1. Varige tillæg'!E18</f>
        <v>70808.611999999994</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1026143.6660736429</v>
      </c>
      <c r="D15" s="8" t="s">
        <v>3</v>
      </c>
      <c r="E15" s="1"/>
    </row>
    <row r="16" spans="1:5" ht="17.100000000000001" customHeight="1" x14ac:dyDescent="0.25">
      <c r="A16" s="1"/>
      <c r="B16" s="24" t="s">
        <v>9</v>
      </c>
      <c r="C16" s="9">
        <f>-SUM(C8,C9:C15)*'Fane 5. Individuelt eff. krav'!G9</f>
        <v>-586463.31279978913</v>
      </c>
      <c r="D16" s="8" t="s">
        <v>3</v>
      </c>
      <c r="E16" s="1"/>
    </row>
    <row r="17" spans="1:5" ht="17.100000000000001" customHeight="1" x14ac:dyDescent="0.25">
      <c r="A17" s="1"/>
      <c r="B17" s="24" t="s">
        <v>22</v>
      </c>
      <c r="C17" s="9">
        <f>-'Fane 4.1. Gen. krav - drift'!G49</f>
        <v>-407623.027958725</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3" t="s">
        <v>19</v>
      </c>
      <c r="C19" s="10">
        <f>SUM(C8:C18)</f>
        <v>28329079.299230941</v>
      </c>
      <c r="D19" s="11" t="s">
        <v>3</v>
      </c>
      <c r="E19" s="1"/>
    </row>
    <row r="20" spans="1:5" ht="15" customHeight="1" x14ac:dyDescent="0.25">
      <c r="A20" s="1"/>
      <c r="B20" s="52" t="s">
        <v>11</v>
      </c>
      <c r="C20" s="53"/>
      <c r="D20" s="19"/>
      <c r="E20" s="1"/>
    </row>
    <row r="21" spans="1:5" ht="15" customHeight="1" x14ac:dyDescent="0.25">
      <c r="A21" s="1"/>
      <c r="B21" s="54" t="s">
        <v>11</v>
      </c>
      <c r="C21" s="10">
        <f>'Fane 6. Ikke-påvirkelige omk.'!C20</f>
        <v>32688459.795976318</v>
      </c>
      <c r="D21" s="11" t="s">
        <v>3</v>
      </c>
      <c r="E21" s="1"/>
    </row>
    <row r="22" spans="1:5" ht="15" customHeight="1" x14ac:dyDescent="0.25">
      <c r="A22" s="1"/>
      <c r="B22" s="52" t="s">
        <v>75</v>
      </c>
      <c r="C22" s="53"/>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3" t="s">
        <v>76</v>
      </c>
      <c r="C27" s="10">
        <f>SUM(C23:C26)</f>
        <v>0</v>
      </c>
      <c r="D27" s="11" t="s">
        <v>3</v>
      </c>
      <c r="E27" s="1"/>
    </row>
    <row r="28" spans="1:5" ht="15" customHeight="1" x14ac:dyDescent="0.25">
      <c r="A28" s="1"/>
      <c r="B28" s="26" t="s">
        <v>117</v>
      </c>
      <c r="C28" s="53"/>
      <c r="D28" s="19"/>
      <c r="E28" s="1"/>
    </row>
    <row r="29" spans="1:5" x14ac:dyDescent="0.25">
      <c r="A29" s="1"/>
      <c r="B29" s="72" t="s">
        <v>118</v>
      </c>
      <c r="C29" s="10">
        <f>'Fane 7. Kontrol af ØR2022'!E27</f>
        <v>500464</v>
      </c>
      <c r="D29" s="11" t="s">
        <v>3</v>
      </c>
      <c r="E29" s="1"/>
    </row>
    <row r="30" spans="1:5" x14ac:dyDescent="0.25">
      <c r="A30" s="1"/>
      <c r="B30" s="26" t="s">
        <v>138</v>
      </c>
      <c r="C30" s="53"/>
      <c r="D30" s="19"/>
      <c r="E30" s="1"/>
    </row>
    <row r="31" spans="1:5" x14ac:dyDescent="0.25">
      <c r="A31" s="1"/>
      <c r="B31" s="72" t="s">
        <v>139</v>
      </c>
      <c r="C31" s="10">
        <f>'Fane 8. Skattesagen'!G13</f>
        <v>0</v>
      </c>
      <c r="D31" s="11" t="s">
        <v>3</v>
      </c>
      <c r="E31" s="1"/>
    </row>
    <row r="32" spans="1:5" x14ac:dyDescent="0.25">
      <c r="A32" s="1"/>
      <c r="B32" s="52" t="s">
        <v>126</v>
      </c>
      <c r="C32" s="33">
        <f>SUM(C19,C21,C27,C29,C31)</f>
        <v>61518003.095207259</v>
      </c>
      <c r="D32" s="19" t="s">
        <v>3</v>
      </c>
      <c r="E32" s="1"/>
    </row>
    <row r="33" spans="1:5" x14ac:dyDescent="0.25">
      <c r="A33" s="1"/>
      <c r="B33" s="1" t="s">
        <v>168</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fgsGzJNV1/sXg85B5pz/vMlIkQrfnUBf30fy+1pYyqUVP2psS1+LLP9wg/oSBL0cCCHvGyVTKoUKaidmk5/sLA==" saltValue="LICk74yqVHbMNx+yy1rb5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199</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127</v>
      </c>
      <c r="C8" s="7">
        <f>'Fane 2.1. Økonomisk ramme 2024'!C19</f>
        <v>28329079.299230941</v>
      </c>
      <c r="D8" s="8" t="s">
        <v>3</v>
      </c>
      <c r="E8" s="1"/>
    </row>
    <row r="9" spans="1:5" ht="15" customHeight="1" x14ac:dyDescent="0.25">
      <c r="A9" s="1"/>
      <c r="B9" s="29" t="s">
        <v>17</v>
      </c>
      <c r="C9" s="9">
        <f>SUM(C8:C8)*'Fane 13. Nøgletal'!C16</f>
        <v>2288989.6073778598</v>
      </c>
      <c r="D9" s="8" t="s">
        <v>3</v>
      </c>
      <c r="E9" s="1"/>
    </row>
    <row r="10" spans="1:5" ht="15" customHeight="1" x14ac:dyDescent="0.25">
      <c r="A10" s="1"/>
      <c r="B10" s="29" t="s">
        <v>9</v>
      </c>
      <c r="C10" s="9">
        <f>-SUM(C8:C9)*'Fane 5. Individuelt eff. krav'!G9</f>
        <v>-612361.378132176</v>
      </c>
      <c r="D10" s="8" t="s">
        <v>3</v>
      </c>
      <c r="E10" s="1"/>
    </row>
    <row r="11" spans="1:5" ht="15" customHeight="1" x14ac:dyDescent="0.25">
      <c r="A11" s="1"/>
      <c r="B11" s="29" t="s">
        <v>22</v>
      </c>
      <c r="C11" s="9">
        <f>-'Fane 4.1. Gen. krav - drift'!G54</f>
        <v>-431747.78924543411</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29573959.739231192</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f>
        <v>35329687.347491205</v>
      </c>
      <c r="D15" s="11" t="s">
        <v>3</v>
      </c>
      <c r="E15" s="1"/>
    </row>
    <row r="16" spans="1:5" x14ac:dyDescent="0.25">
      <c r="A16" s="1"/>
      <c r="B16" s="26" t="s">
        <v>117</v>
      </c>
      <c r="C16" s="53"/>
      <c r="D16" s="19"/>
      <c r="E16" s="1"/>
    </row>
    <row r="17" spans="1:5" ht="15" customHeight="1" x14ac:dyDescent="0.25">
      <c r="A17" s="1"/>
      <c r="B17" s="72" t="s">
        <v>118</v>
      </c>
      <c r="C17" s="10">
        <f>'Fane 7. Kontrol af ØR2022'!E33</f>
        <v>0</v>
      </c>
      <c r="D17" s="11" t="s">
        <v>3</v>
      </c>
      <c r="E17" s="1"/>
    </row>
    <row r="18" spans="1:5" x14ac:dyDescent="0.25">
      <c r="A18" s="1"/>
      <c r="B18" s="26" t="s">
        <v>138</v>
      </c>
      <c r="C18" s="53"/>
      <c r="D18" s="19"/>
      <c r="E18" s="1"/>
    </row>
    <row r="19" spans="1:5" x14ac:dyDescent="0.25">
      <c r="A19" s="1"/>
      <c r="B19" s="72" t="s">
        <v>139</v>
      </c>
      <c r="C19" s="10">
        <f>'Fane 8. Skattesagen'!G13</f>
        <v>0</v>
      </c>
      <c r="D19" s="11" t="s">
        <v>3</v>
      </c>
      <c r="E19" s="1"/>
    </row>
    <row r="20" spans="1:5" x14ac:dyDescent="0.25">
      <c r="A20" s="1"/>
      <c r="B20" s="52" t="s">
        <v>128</v>
      </c>
      <c r="C20" s="12">
        <f>SUM(C13,C15,C17,C19)</f>
        <v>64903647.086722396</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iMF8kjodGSmPGgl3x50wh0HEZyPhrDs//S0HRUCGqRD3ak16XezGwRP60Fp5W1I5TYwWIXmlogmvagzCa3kZng==" saltValue="Xo0OEuFJzaZ3MxYNdaSTI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200</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142</v>
      </c>
      <c r="C8" s="7">
        <f>'Fane 2.2. Økonomisk ramme 2025'!C13</f>
        <v>29573959.739231192</v>
      </c>
      <c r="D8" s="8" t="s">
        <v>3</v>
      </c>
      <c r="E8" s="1"/>
    </row>
    <row r="9" spans="1:5" ht="15" customHeight="1" x14ac:dyDescent="0.25">
      <c r="A9" s="1"/>
      <c r="B9" s="29" t="s">
        <v>17</v>
      </c>
      <c r="C9" s="9">
        <f>SUM(C8:C8)*'Fane 13. Nøgletal'!C16</f>
        <v>2389575.9469298804</v>
      </c>
      <c r="D9" s="8" t="s">
        <v>3</v>
      </c>
      <c r="E9" s="1"/>
    </row>
    <row r="10" spans="1:5" ht="15" customHeight="1" x14ac:dyDescent="0.25">
      <c r="A10" s="1"/>
      <c r="B10" s="29" t="s">
        <v>9</v>
      </c>
      <c r="C10" s="9">
        <f>-SUM(C8:C9)*'Fane 5. Individuelt eff. krav'!G9</f>
        <v>-639270.71372322144</v>
      </c>
      <c r="D10" s="8" t="s">
        <v>3</v>
      </c>
      <c r="E10" s="1"/>
    </row>
    <row r="11" spans="1:5" ht="15" customHeight="1" x14ac:dyDescent="0.25">
      <c r="A11" s="1"/>
      <c r="B11" s="29" t="s">
        <v>22</v>
      </c>
      <c r="C11" s="9">
        <f>-'Fane 4.1. Gen. krav - drift'!G59</f>
        <v>-457300.35040413588</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30866964.622033715</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Nøgletal'!C16)^2</f>
        <v>38184326.085168496</v>
      </c>
      <c r="D15" s="11" t="s">
        <v>3</v>
      </c>
      <c r="E15" s="1"/>
    </row>
    <row r="16" spans="1:5" x14ac:dyDescent="0.25">
      <c r="A16" s="1"/>
      <c r="B16" s="52" t="s">
        <v>117</v>
      </c>
      <c r="C16" s="53"/>
      <c r="D16" s="19"/>
      <c r="E16" s="1"/>
    </row>
    <row r="17" spans="1:5" x14ac:dyDescent="0.25">
      <c r="A17" s="1"/>
      <c r="B17" s="54" t="s">
        <v>118</v>
      </c>
      <c r="C17" s="10">
        <f>'Fane 7. Kontrol af ØR2022'!E33</f>
        <v>0</v>
      </c>
      <c r="D17" s="11" t="s">
        <v>3</v>
      </c>
      <c r="E17" s="1"/>
    </row>
    <row r="18" spans="1:5" ht="15" customHeight="1" x14ac:dyDescent="0.25">
      <c r="A18" s="1"/>
      <c r="B18" s="26" t="s">
        <v>138</v>
      </c>
      <c r="C18" s="53"/>
      <c r="D18" s="19"/>
      <c r="E18" s="1"/>
    </row>
    <row r="19" spans="1:5" ht="15" customHeight="1" x14ac:dyDescent="0.25">
      <c r="A19" s="1"/>
      <c r="B19" s="72" t="s">
        <v>139</v>
      </c>
      <c r="C19" s="10">
        <f>'Fane 8. Skattesagen'!G14</f>
        <v>0</v>
      </c>
      <c r="D19" s="11" t="s">
        <v>3</v>
      </c>
      <c r="E19" s="1"/>
    </row>
    <row r="20" spans="1:5" x14ac:dyDescent="0.25">
      <c r="A20" s="1"/>
      <c r="B20" s="52" t="s">
        <v>143</v>
      </c>
      <c r="C20" s="12">
        <f>SUM(C13,C15,C17,C19)</f>
        <v>69051290.707202211</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CtNbm2yGDXzfOoZdD7z+mEvi6gXgtCq1QakaXmZZHHWTPIwo0KoEWmIfTKDLg+qG55lwgdT38pCBPbgYOr5Xg==" saltValue="1WcRoo6ygJA/GZX9KMmrC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204</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203</v>
      </c>
      <c r="C8" s="7">
        <f>'Fane 2.3. Økonomisk ramme 2026'!C13</f>
        <v>30866964.622033715</v>
      </c>
      <c r="D8" s="8" t="s">
        <v>3</v>
      </c>
      <c r="E8" s="1"/>
    </row>
    <row r="9" spans="1:5" ht="15" customHeight="1" x14ac:dyDescent="0.25">
      <c r="A9" s="1"/>
      <c r="B9" s="29" t="s">
        <v>17</v>
      </c>
      <c r="C9" s="9">
        <f>SUM(C8:C8)*'Fane 13. Nøgletal'!C16</f>
        <v>2494050.7414603243</v>
      </c>
      <c r="D9" s="8" t="s">
        <v>3</v>
      </c>
      <c r="E9" s="1"/>
    </row>
    <row r="10" spans="1:5" ht="15" customHeight="1" x14ac:dyDescent="0.25">
      <c r="A10" s="1"/>
      <c r="B10" s="29" t="s">
        <v>9</v>
      </c>
      <c r="C10" s="9">
        <f>-SUM(C8:C9)*'Fane 5. Individuelt eff. krav'!G9</f>
        <v>-667220.30726988078</v>
      </c>
      <c r="D10" s="8" t="s">
        <v>3</v>
      </c>
      <c r="E10" s="1"/>
    </row>
    <row r="11" spans="1:5" ht="15" customHeight="1" x14ac:dyDescent="0.25">
      <c r="A11" s="1"/>
      <c r="B11" s="29" t="s">
        <v>22</v>
      </c>
      <c r="C11" s="9">
        <f>-'Fane 4.1. Gen. krav - drift'!G64</f>
        <v>-484365.21434245422</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32209429.841881704</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Nøgletal'!C16)^3</f>
        <v>41269619.632850103</v>
      </c>
      <c r="D15" s="11" t="s">
        <v>3</v>
      </c>
      <c r="E15" s="1"/>
    </row>
    <row r="16" spans="1:5" x14ac:dyDescent="0.25">
      <c r="A16" s="1"/>
      <c r="B16" s="52" t="s">
        <v>117</v>
      </c>
      <c r="C16" s="53"/>
      <c r="D16" s="19"/>
      <c r="E16" s="1"/>
    </row>
    <row r="17" spans="1:5" x14ac:dyDescent="0.25">
      <c r="A17" s="1"/>
      <c r="B17" s="54" t="s">
        <v>118</v>
      </c>
      <c r="C17" s="10">
        <v>0</v>
      </c>
      <c r="D17" s="11" t="s">
        <v>3</v>
      </c>
      <c r="E17" s="1"/>
    </row>
    <row r="18" spans="1:5" x14ac:dyDescent="0.25">
      <c r="A18" s="1"/>
      <c r="B18" s="26" t="s">
        <v>138</v>
      </c>
      <c r="C18" s="53"/>
      <c r="D18" s="19"/>
      <c r="E18" s="1"/>
    </row>
    <row r="19" spans="1:5" x14ac:dyDescent="0.25">
      <c r="A19" s="1"/>
      <c r="B19" s="72" t="s">
        <v>139</v>
      </c>
      <c r="C19" s="10">
        <f>'Fane 8. Skattesagen'!G15</f>
        <v>0</v>
      </c>
      <c r="D19" s="11" t="s">
        <v>3</v>
      </c>
      <c r="E19" s="1"/>
    </row>
    <row r="20" spans="1:5" x14ac:dyDescent="0.25">
      <c r="A20" s="1"/>
      <c r="B20" s="52" t="s">
        <v>205</v>
      </c>
      <c r="C20" s="12">
        <f>SUM(C13,C15,C17,C19)</f>
        <v>73479049.474731803</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pB2L94u0T54AFy7TPKuVur0Rn19ViE4ocVt5R1xwruUD/XWGcSiB8IpMTfA92GpN7YvyRlxpN81qukAEoYnOg==" saltValue="WGnK+CterYdsxpUmzI5/M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00" t="s">
        <v>201</v>
      </c>
      <c r="C3" s="100"/>
      <c r="D3" s="100"/>
      <c r="E3" s="1"/>
    </row>
    <row r="4" spans="1:5" x14ac:dyDescent="0.25">
      <c r="A4" s="1"/>
      <c r="B4" s="100"/>
      <c r="C4" s="100"/>
      <c r="D4" s="100"/>
      <c r="E4" s="1"/>
    </row>
    <row r="5" spans="1:5" x14ac:dyDescent="0.25">
      <c r="A5" s="1"/>
      <c r="B5" s="1"/>
      <c r="C5" s="1"/>
      <c r="D5" s="1"/>
      <c r="E5" s="1"/>
    </row>
    <row r="6" spans="1:5" x14ac:dyDescent="0.25">
      <c r="A6" s="1"/>
      <c r="B6" s="1"/>
      <c r="C6" s="1"/>
      <c r="D6" s="1"/>
      <c r="E6" s="1"/>
    </row>
    <row r="7" spans="1:5" x14ac:dyDescent="0.25">
      <c r="A7" s="1"/>
      <c r="B7" s="52" t="s">
        <v>202</v>
      </c>
      <c r="C7" s="53"/>
      <c r="D7" s="19"/>
      <c r="E7" s="1"/>
    </row>
    <row r="8" spans="1:5" x14ac:dyDescent="0.25">
      <c r="A8" s="1"/>
      <c r="B8" s="55" t="s">
        <v>108</v>
      </c>
      <c r="C8" s="7">
        <v>26873294.926771007</v>
      </c>
      <c r="D8" s="8" t="s">
        <v>3</v>
      </c>
      <c r="E8" s="1"/>
    </row>
    <row r="9" spans="1:5" x14ac:dyDescent="0.25">
      <c r="A9" s="1"/>
      <c r="B9" s="24" t="s">
        <v>33</v>
      </c>
      <c r="C9" s="7">
        <v>717199.60200000007</v>
      </c>
      <c r="D9" s="8" t="s">
        <v>3</v>
      </c>
      <c r="E9" s="1"/>
    </row>
    <row r="10" spans="1:5" x14ac:dyDescent="0.25">
      <c r="A10" s="1"/>
      <c r="B10" s="24" t="s">
        <v>34</v>
      </c>
      <c r="C10" s="9">
        <v>270777.29639999999</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991861.27697608795</v>
      </c>
      <c r="D15" s="8" t="s">
        <v>3</v>
      </c>
      <c r="E15" s="1"/>
    </row>
    <row r="16" spans="1:5" x14ac:dyDescent="0.25">
      <c r="A16" s="1"/>
      <c r="B16" s="24" t="s">
        <v>9</v>
      </c>
      <c r="C16" s="9">
        <v>-577062.6620429419</v>
      </c>
      <c r="D16" s="8" t="s">
        <v>3</v>
      </c>
      <c r="E16" s="1"/>
    </row>
    <row r="17" spans="1:5" x14ac:dyDescent="0.25">
      <c r="A17" s="1"/>
      <c r="B17" s="24" t="s">
        <v>22</v>
      </c>
      <c r="C17" s="9">
        <v>-394306.95738834015</v>
      </c>
      <c r="D17" s="8" t="s">
        <v>3</v>
      </c>
      <c r="E17" s="1"/>
    </row>
    <row r="18" spans="1:5" x14ac:dyDescent="0.25">
      <c r="A18" s="1"/>
      <c r="B18" s="24" t="s">
        <v>23</v>
      </c>
      <c r="C18" s="9">
        <v>0</v>
      </c>
      <c r="D18" s="8" t="s">
        <v>3</v>
      </c>
      <c r="E18" s="1"/>
    </row>
    <row r="19" spans="1:5" x14ac:dyDescent="0.25">
      <c r="A19" s="1"/>
      <c r="B19" s="73" t="s">
        <v>19</v>
      </c>
      <c r="C19" s="10">
        <v>27881763.482715812</v>
      </c>
      <c r="D19" s="11" t="s">
        <v>3</v>
      </c>
      <c r="E19" s="1"/>
    </row>
    <row r="20" spans="1:5" x14ac:dyDescent="0.25">
      <c r="A20" s="1"/>
      <c r="B20" s="52" t="s">
        <v>11</v>
      </c>
      <c r="C20" s="53"/>
      <c r="D20" s="19"/>
      <c r="E20" s="1"/>
    </row>
    <row r="21" spans="1:5" x14ac:dyDescent="0.25">
      <c r="A21" s="1"/>
      <c r="B21" s="54" t="s">
        <v>11</v>
      </c>
      <c r="C21" s="10">
        <v>30510673.258138563</v>
      </c>
      <c r="D21" s="11" t="s">
        <v>3</v>
      </c>
      <c r="E21" s="1"/>
    </row>
    <row r="22" spans="1:5" x14ac:dyDescent="0.25">
      <c r="A22" s="1"/>
      <c r="B22" s="52" t="s">
        <v>75</v>
      </c>
      <c r="C22" s="53"/>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3" t="s">
        <v>76</v>
      </c>
      <c r="C27" s="57">
        <v>0</v>
      </c>
      <c r="D27" s="11" t="s">
        <v>3</v>
      </c>
      <c r="E27" s="1"/>
    </row>
    <row r="28" spans="1:5" x14ac:dyDescent="0.25">
      <c r="A28" s="1"/>
      <c r="B28" s="26" t="s">
        <v>117</v>
      </c>
      <c r="C28" s="53"/>
      <c r="D28" s="19"/>
      <c r="E28" s="1"/>
    </row>
    <row r="29" spans="1:5" x14ac:dyDescent="0.25">
      <c r="A29" s="1"/>
      <c r="B29" s="72" t="s">
        <v>118</v>
      </c>
      <c r="C29" s="10">
        <v>-1337509.857472904</v>
      </c>
      <c r="D29" s="11" t="s">
        <v>3</v>
      </c>
      <c r="E29" s="1"/>
    </row>
    <row r="30" spans="1:5" x14ac:dyDescent="0.25">
      <c r="A30" s="1"/>
      <c r="B30" s="26" t="s">
        <v>138</v>
      </c>
      <c r="C30" s="53"/>
      <c r="D30" s="19"/>
      <c r="E30" s="1"/>
    </row>
    <row r="31" spans="1:5" x14ac:dyDescent="0.25">
      <c r="A31" s="1"/>
      <c r="B31" s="72" t="s">
        <v>139</v>
      </c>
      <c r="C31" s="10">
        <v>0</v>
      </c>
      <c r="D31" s="11" t="s">
        <v>3</v>
      </c>
      <c r="E31" s="1"/>
    </row>
    <row r="32" spans="1:5" x14ac:dyDescent="0.25">
      <c r="A32" s="1"/>
      <c r="B32" s="52" t="s">
        <v>239</v>
      </c>
      <c r="C32" s="33">
        <v>57054926.883381471</v>
      </c>
      <c r="D32" s="19" t="s">
        <v>3</v>
      </c>
      <c r="E32" s="1"/>
    </row>
    <row r="33" spans="1:5" ht="30" customHeight="1" x14ac:dyDescent="0.25">
      <c r="A33" s="1"/>
      <c r="B33" s="99" t="s">
        <v>240</v>
      </c>
      <c r="C33" s="99"/>
      <c r="D33" s="9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N/O7X/st2xGqWrR1wI/gHBj3wgFzYonyToFAXqViXP0Jew0nRsobzeEnfR/Zy6JMONTJO3DMi0XYRfQX9F00sw==" saltValue="WD5vVQ14cOzXcG8QEX6YbQ=="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100" t="s">
        <v>90</v>
      </c>
      <c r="C1" s="100"/>
      <c r="D1" s="100"/>
      <c r="E1" s="100"/>
      <c r="F1" s="100"/>
      <c r="G1" s="100"/>
      <c r="H1" s="100"/>
      <c r="I1" s="1"/>
    </row>
    <row r="2" spans="1:9" ht="15" customHeight="1" x14ac:dyDescent="0.25">
      <c r="A2" s="1"/>
      <c r="B2" s="100"/>
      <c r="C2" s="100"/>
      <c r="D2" s="100"/>
      <c r="E2" s="100"/>
      <c r="F2" s="100"/>
      <c r="G2" s="100"/>
      <c r="H2" s="100"/>
      <c r="I2" s="1"/>
    </row>
    <row r="3" spans="1:9" ht="15" customHeight="1" x14ac:dyDescent="0.25">
      <c r="A3" s="1"/>
      <c r="B3" s="100"/>
      <c r="C3" s="100"/>
      <c r="D3" s="100"/>
      <c r="E3" s="100"/>
      <c r="F3" s="100"/>
      <c r="G3" s="100"/>
      <c r="H3" s="100"/>
      <c r="I3" s="1"/>
    </row>
    <row r="4" spans="1:9" x14ac:dyDescent="0.25">
      <c r="A4" s="1"/>
      <c r="B4" s="101" t="s">
        <v>44</v>
      </c>
      <c r="C4" s="102"/>
      <c r="D4" s="102"/>
      <c r="E4" s="102"/>
      <c r="F4" s="102"/>
      <c r="G4" s="102"/>
      <c r="H4" s="103"/>
      <c r="I4" s="1"/>
    </row>
    <row r="5" spans="1:9" x14ac:dyDescent="0.25">
      <c r="A5" s="1"/>
      <c r="B5" s="104" t="s">
        <v>36</v>
      </c>
      <c r="C5" s="105"/>
      <c r="D5" s="105"/>
      <c r="E5" s="105"/>
      <c r="F5" s="106"/>
      <c r="G5" s="47">
        <v>17899150.102455098</v>
      </c>
      <c r="H5" s="14" t="s">
        <v>3</v>
      </c>
      <c r="I5" s="1"/>
    </row>
    <row r="6" spans="1:9" x14ac:dyDescent="0.25">
      <c r="A6" s="1"/>
      <c r="B6" s="104" t="s">
        <v>37</v>
      </c>
      <c r="C6" s="105"/>
      <c r="D6" s="105"/>
      <c r="E6" s="105"/>
      <c r="F6" s="106"/>
      <c r="G6" s="22">
        <f>G5*'Fane 13. Nøgletal'!C33</f>
        <v>357983.00204910198</v>
      </c>
      <c r="H6" s="14" t="s">
        <v>3</v>
      </c>
      <c r="I6" s="1"/>
    </row>
    <row r="7" spans="1:9" x14ac:dyDescent="0.25">
      <c r="A7" s="1"/>
      <c r="B7" s="52"/>
      <c r="C7" s="53"/>
      <c r="D7" s="53"/>
      <c r="E7" s="53"/>
      <c r="F7" s="53"/>
      <c r="G7" s="35"/>
      <c r="H7" s="19"/>
      <c r="I7" s="1"/>
    </row>
    <row r="8" spans="1:9" x14ac:dyDescent="0.25">
      <c r="A8" s="1"/>
      <c r="B8" s="1"/>
      <c r="C8" s="1"/>
      <c r="D8" s="1"/>
      <c r="E8" s="1"/>
      <c r="F8" s="1"/>
      <c r="G8" s="36"/>
      <c r="H8" s="1"/>
      <c r="I8" s="1"/>
    </row>
    <row r="9" spans="1:9" x14ac:dyDescent="0.25">
      <c r="A9" s="1"/>
      <c r="B9" s="101" t="s">
        <v>45</v>
      </c>
      <c r="C9" s="102"/>
      <c r="D9" s="102"/>
      <c r="E9" s="102"/>
      <c r="F9" s="102"/>
      <c r="G9" s="102"/>
      <c r="H9" s="103"/>
      <c r="I9" s="1"/>
    </row>
    <row r="10" spans="1:9" x14ac:dyDescent="0.25">
      <c r="A10" s="1"/>
      <c r="B10" s="104" t="s">
        <v>38</v>
      </c>
      <c r="C10" s="105"/>
      <c r="D10" s="105"/>
      <c r="E10" s="105"/>
      <c r="F10" s="106"/>
      <c r="G10" s="22">
        <f>(G5-G6)*(1+'Fane 13. Nøgletal'!C9)</f>
        <v>17763939.922581151</v>
      </c>
      <c r="H10" s="14" t="s">
        <v>3</v>
      </c>
      <c r="I10" s="1"/>
    </row>
    <row r="11" spans="1:9" x14ac:dyDescent="0.25">
      <c r="A11" s="1"/>
      <c r="B11" s="107" t="s">
        <v>228</v>
      </c>
      <c r="C11" s="108"/>
      <c r="D11" s="108"/>
      <c r="E11" s="108"/>
      <c r="F11" s="109"/>
      <c r="G11" s="47">
        <v>0</v>
      </c>
      <c r="H11" s="14" t="s">
        <v>3</v>
      </c>
      <c r="I11" s="1"/>
    </row>
    <row r="12" spans="1:9" x14ac:dyDescent="0.25">
      <c r="A12" s="1"/>
      <c r="B12" s="104" t="s">
        <v>39</v>
      </c>
      <c r="C12" s="105"/>
      <c r="D12" s="105"/>
      <c r="E12" s="105"/>
      <c r="F12" s="106"/>
      <c r="G12" s="22">
        <f>(G10+G11)*'Fane 13. Nøgletal'!C33</f>
        <v>355278.79845162301</v>
      </c>
      <c r="H12" s="14" t="s">
        <v>3</v>
      </c>
      <c r="I12" s="1"/>
    </row>
    <row r="13" spans="1:9" x14ac:dyDescent="0.25">
      <c r="A13" s="1"/>
      <c r="B13" s="52"/>
      <c r="C13" s="53"/>
      <c r="D13" s="53"/>
      <c r="E13" s="53"/>
      <c r="F13" s="53"/>
      <c r="G13" s="35"/>
      <c r="H13" s="19"/>
      <c r="I13" s="1"/>
    </row>
    <row r="14" spans="1:9" x14ac:dyDescent="0.25">
      <c r="A14" s="1"/>
      <c r="B14" s="1"/>
      <c r="C14" s="1"/>
      <c r="D14" s="1"/>
      <c r="E14" s="1"/>
      <c r="F14" s="1"/>
      <c r="G14" s="36"/>
      <c r="H14" s="1"/>
      <c r="I14" s="1"/>
    </row>
    <row r="15" spans="1:9" x14ac:dyDescent="0.25">
      <c r="A15" s="1"/>
      <c r="B15" s="101" t="s">
        <v>46</v>
      </c>
      <c r="C15" s="102"/>
      <c r="D15" s="102"/>
      <c r="E15" s="102"/>
      <c r="F15" s="102"/>
      <c r="G15" s="102"/>
      <c r="H15" s="103"/>
      <c r="I15" s="1"/>
    </row>
    <row r="16" spans="1:9" x14ac:dyDescent="0.25">
      <c r="A16" s="1"/>
      <c r="B16" s="104" t="s">
        <v>40</v>
      </c>
      <c r="C16" s="105"/>
      <c r="D16" s="105"/>
      <c r="E16" s="105"/>
      <c r="F16" s="106"/>
      <c r="G16" s="22">
        <f>(G10+G11-G12)*(1+'Fane 13. Nøgletal'!C11)</f>
        <v>17702867.497127313</v>
      </c>
      <c r="H16" s="14" t="s">
        <v>3</v>
      </c>
      <c r="I16" s="1"/>
    </row>
    <row r="17" spans="1:9" x14ac:dyDescent="0.25">
      <c r="A17" s="1"/>
      <c r="B17" s="104" t="s">
        <v>100</v>
      </c>
      <c r="C17" s="105"/>
      <c r="D17" s="105"/>
      <c r="E17" s="105"/>
      <c r="F17" s="106"/>
      <c r="G17" s="47">
        <v>0</v>
      </c>
      <c r="H17" s="14" t="s">
        <v>3</v>
      </c>
      <c r="I17" s="1"/>
    </row>
    <row r="18" spans="1:9" x14ac:dyDescent="0.25">
      <c r="A18" s="1"/>
      <c r="B18" s="107" t="s">
        <v>229</v>
      </c>
      <c r="C18" s="108"/>
      <c r="D18" s="108"/>
      <c r="E18" s="108"/>
      <c r="F18" s="109"/>
      <c r="G18" s="47">
        <v>0</v>
      </c>
      <c r="H18" s="14" t="s">
        <v>3</v>
      </c>
      <c r="I18" s="1"/>
    </row>
    <row r="19" spans="1:9" x14ac:dyDescent="0.25">
      <c r="A19" s="1"/>
      <c r="B19" s="104" t="s">
        <v>41</v>
      </c>
      <c r="C19" s="105"/>
      <c r="D19" s="105"/>
      <c r="E19" s="105"/>
      <c r="F19" s="106"/>
      <c r="G19" s="22">
        <f>SUM(G16:G18)*'Fane 13. Nøgletal'!C33</f>
        <v>354057.34994254628</v>
      </c>
      <c r="H19" s="14" t="s">
        <v>3</v>
      </c>
      <c r="I19" s="1"/>
    </row>
    <row r="20" spans="1:9" x14ac:dyDescent="0.25">
      <c r="A20" s="1"/>
      <c r="B20" s="52"/>
      <c r="C20" s="53"/>
      <c r="D20" s="53"/>
      <c r="E20" s="53"/>
      <c r="F20" s="53"/>
      <c r="G20" s="35"/>
      <c r="H20" s="19"/>
      <c r="I20" s="1"/>
    </row>
    <row r="21" spans="1:9" x14ac:dyDescent="0.25">
      <c r="A21" s="1"/>
      <c r="B21" s="1"/>
      <c r="C21" s="1"/>
      <c r="D21" s="1"/>
      <c r="E21" s="1"/>
      <c r="F21" s="1"/>
      <c r="G21" s="36"/>
      <c r="H21" s="1"/>
      <c r="I21" s="1"/>
    </row>
    <row r="22" spans="1:9" x14ac:dyDescent="0.25">
      <c r="A22" s="1"/>
      <c r="B22" s="101" t="s">
        <v>47</v>
      </c>
      <c r="C22" s="102"/>
      <c r="D22" s="102"/>
      <c r="E22" s="102"/>
      <c r="F22" s="102"/>
      <c r="G22" s="102"/>
      <c r="H22" s="103"/>
      <c r="I22" s="1"/>
    </row>
    <row r="23" spans="1:9" x14ac:dyDescent="0.25">
      <c r="A23" s="1"/>
      <c r="B23" s="104" t="s">
        <v>42</v>
      </c>
      <c r="C23" s="105"/>
      <c r="D23" s="105"/>
      <c r="E23" s="105"/>
      <c r="F23" s="106"/>
      <c r="G23" s="22">
        <f>(SUM(G16:G18)-G19)*(1+'Fane 13. Nøgletal'!C11)</f>
        <v>17642005.038672186</v>
      </c>
      <c r="H23" s="14" t="s">
        <v>3</v>
      </c>
      <c r="I23" s="1"/>
    </row>
    <row r="24" spans="1:9" x14ac:dyDescent="0.25">
      <c r="A24" s="1"/>
      <c r="B24" s="107" t="s">
        <v>230</v>
      </c>
      <c r="C24" s="108"/>
      <c r="D24" s="108"/>
      <c r="E24" s="108"/>
      <c r="F24" s="109"/>
      <c r="G24" s="47">
        <v>73649.23020279</v>
      </c>
      <c r="H24" s="14" t="s">
        <v>3</v>
      </c>
      <c r="I24" s="1"/>
    </row>
    <row r="25" spans="1:9" x14ac:dyDescent="0.25">
      <c r="A25" s="1"/>
      <c r="B25" s="104" t="s">
        <v>43</v>
      </c>
      <c r="C25" s="105"/>
      <c r="D25" s="105"/>
      <c r="E25" s="105"/>
      <c r="F25" s="106"/>
      <c r="G25" s="22">
        <f>(G23+G24)*'Fane 13. Nøgletal'!C33</f>
        <v>354313.08537749952</v>
      </c>
      <c r="H25" s="14" t="s">
        <v>3</v>
      </c>
      <c r="I25" s="1"/>
    </row>
    <row r="26" spans="1:9" x14ac:dyDescent="0.25">
      <c r="A26" s="1"/>
      <c r="B26" s="52"/>
      <c r="C26" s="53"/>
      <c r="D26" s="53"/>
      <c r="E26" s="53"/>
      <c r="F26" s="53"/>
      <c r="G26" s="35"/>
      <c r="H26" s="19"/>
      <c r="I26" s="1"/>
    </row>
    <row r="27" spans="1:9" x14ac:dyDescent="0.25">
      <c r="A27" s="1"/>
      <c r="B27" s="1"/>
      <c r="C27" s="1"/>
      <c r="D27" s="1"/>
      <c r="E27" s="1"/>
      <c r="F27" s="1"/>
      <c r="G27" s="36"/>
      <c r="H27" s="1"/>
      <c r="I27" s="1"/>
    </row>
    <row r="28" spans="1:9" x14ac:dyDescent="0.25">
      <c r="A28" s="1"/>
      <c r="B28" s="101" t="s">
        <v>121</v>
      </c>
      <c r="C28" s="102"/>
      <c r="D28" s="102"/>
      <c r="E28" s="102"/>
      <c r="F28" s="102"/>
      <c r="G28" s="102"/>
      <c r="H28" s="103"/>
      <c r="I28" s="1"/>
    </row>
    <row r="29" spans="1:9" x14ac:dyDescent="0.25">
      <c r="A29" s="1"/>
      <c r="B29" s="104" t="s">
        <v>50</v>
      </c>
      <c r="C29" s="105"/>
      <c r="D29" s="105"/>
      <c r="E29" s="105"/>
      <c r="F29" s="106"/>
      <c r="G29" s="22">
        <f>(G23+G24-G25)*(1+'Fane 13. Nøgletal'!C13)</f>
        <v>17573149.545936145</v>
      </c>
      <c r="H29" s="14" t="s">
        <v>3</v>
      </c>
      <c r="I29" s="1"/>
    </row>
    <row r="30" spans="1:9" x14ac:dyDescent="0.25">
      <c r="A30" s="1"/>
      <c r="B30" s="104" t="s">
        <v>231</v>
      </c>
      <c r="C30" s="105"/>
      <c r="D30" s="105"/>
      <c r="E30" s="105"/>
      <c r="F30" s="106"/>
      <c r="G30" s="47">
        <v>77398.517568959986</v>
      </c>
      <c r="H30" s="14" t="s">
        <v>3</v>
      </c>
      <c r="I30" s="1"/>
    </row>
    <row r="31" spans="1:9" x14ac:dyDescent="0.25">
      <c r="A31" s="1"/>
      <c r="B31" s="104" t="s">
        <v>115</v>
      </c>
      <c r="C31" s="105"/>
      <c r="D31" s="105"/>
      <c r="E31" s="105"/>
      <c r="F31" s="106"/>
      <c r="G31" s="22">
        <f>(G29+G30)*'Fane 13. Nøgletal'!C33</f>
        <v>353010.96127010213</v>
      </c>
      <c r="H31" s="14" t="s">
        <v>3</v>
      </c>
      <c r="I31" s="1"/>
    </row>
    <row r="32" spans="1:9" x14ac:dyDescent="0.25">
      <c r="A32" s="1"/>
      <c r="B32" s="52"/>
      <c r="C32" s="53"/>
      <c r="D32" s="53"/>
      <c r="E32" s="53"/>
      <c r="F32" s="53"/>
      <c r="G32" s="35"/>
      <c r="H32" s="19"/>
      <c r="I32" s="1"/>
    </row>
    <row r="33" spans="1:9" x14ac:dyDescent="0.25">
      <c r="A33" s="1"/>
      <c r="B33" s="1"/>
      <c r="C33" s="1"/>
      <c r="D33" s="1"/>
      <c r="E33" s="1"/>
      <c r="F33" s="1"/>
      <c r="G33" s="36"/>
      <c r="H33" s="1"/>
      <c r="I33" s="1"/>
    </row>
    <row r="34" spans="1:9" x14ac:dyDescent="0.25">
      <c r="A34" s="1"/>
      <c r="B34" s="101" t="s">
        <v>122</v>
      </c>
      <c r="C34" s="102"/>
      <c r="D34" s="102"/>
      <c r="E34" s="102"/>
      <c r="F34" s="102"/>
      <c r="G34" s="102"/>
      <c r="H34" s="103"/>
      <c r="I34" s="1"/>
    </row>
    <row r="35" spans="1:9" x14ac:dyDescent="0.25">
      <c r="A35" s="1"/>
      <c r="B35" s="104" t="s">
        <v>69</v>
      </c>
      <c r="C35" s="105"/>
      <c r="D35" s="105"/>
      <c r="E35" s="105"/>
      <c r="F35" s="106"/>
      <c r="G35" s="22">
        <f>(G29+G30-G31)*(1+'Fane 13. Nøgletal'!C13)</f>
        <v>17508567.054882269</v>
      </c>
      <c r="H35" s="14" t="s">
        <v>3</v>
      </c>
      <c r="I35" s="1"/>
    </row>
    <row r="36" spans="1:9" x14ac:dyDescent="0.25">
      <c r="A36" s="1"/>
      <c r="B36" s="104" t="s">
        <v>232</v>
      </c>
      <c r="C36" s="105"/>
      <c r="D36" s="105"/>
      <c r="E36" s="105"/>
      <c r="F36" s="106"/>
      <c r="G36" s="47">
        <v>1185728.2383774901</v>
      </c>
      <c r="H36" s="14" t="s">
        <v>3</v>
      </c>
      <c r="I36" s="1"/>
    </row>
    <row r="37" spans="1:9" x14ac:dyDescent="0.25">
      <c r="A37" s="1"/>
      <c r="B37" s="104" t="s">
        <v>123</v>
      </c>
      <c r="C37" s="105"/>
      <c r="D37" s="105"/>
      <c r="E37" s="105"/>
      <c r="F37" s="106"/>
      <c r="G37" s="22">
        <f>(G35+G36)*'Fane 13. Nøgletal'!C33</f>
        <v>373885.90586519515</v>
      </c>
      <c r="H37" s="14" t="s">
        <v>3</v>
      </c>
      <c r="I37" s="1"/>
    </row>
    <row r="38" spans="1:9" x14ac:dyDescent="0.25">
      <c r="A38" s="1"/>
      <c r="B38" s="52"/>
      <c r="C38" s="53"/>
      <c r="D38" s="53"/>
      <c r="E38" s="53"/>
      <c r="F38" s="53"/>
      <c r="G38" s="35"/>
      <c r="H38" s="19"/>
      <c r="I38" s="1"/>
    </row>
    <row r="39" spans="1:9" x14ac:dyDescent="0.25">
      <c r="A39" s="1"/>
      <c r="B39" s="1"/>
      <c r="C39" s="1"/>
      <c r="D39" s="1"/>
      <c r="E39" s="1"/>
      <c r="F39" s="1"/>
      <c r="G39" s="36"/>
      <c r="H39" s="1"/>
      <c r="I39" s="1"/>
    </row>
    <row r="40" spans="1:9" x14ac:dyDescent="0.25">
      <c r="A40" s="1"/>
      <c r="B40" s="101" t="s">
        <v>157</v>
      </c>
      <c r="C40" s="102"/>
      <c r="D40" s="102"/>
      <c r="E40" s="102"/>
      <c r="F40" s="102"/>
      <c r="G40" s="102"/>
      <c r="H40" s="103"/>
      <c r="I40" s="1"/>
    </row>
    <row r="41" spans="1:9" x14ac:dyDescent="0.25">
      <c r="A41" s="1"/>
      <c r="B41" s="104" t="s">
        <v>68</v>
      </c>
      <c r="C41" s="105"/>
      <c r="D41" s="105"/>
      <c r="E41" s="105"/>
      <c r="F41" s="106"/>
      <c r="G41" s="22">
        <f>(G35+G36-G37)*(1+'Fane 13. Nøgletal'!C15)</f>
        <v>18972615.961585809</v>
      </c>
      <c r="H41" s="14" t="s">
        <v>3</v>
      </c>
      <c r="I41" s="1"/>
    </row>
    <row r="42" spans="1:9" x14ac:dyDescent="0.25">
      <c r="A42" s="1"/>
      <c r="B42" s="104" t="s">
        <v>156</v>
      </c>
      <c r="C42" s="105"/>
      <c r="D42" s="105"/>
      <c r="E42" s="105"/>
      <c r="F42" s="106"/>
      <c r="G42" s="22">
        <v>742731.90783120017</v>
      </c>
      <c r="H42" s="14" t="s">
        <v>3</v>
      </c>
      <c r="I42" s="1"/>
    </row>
    <row r="43" spans="1:9" x14ac:dyDescent="0.25">
      <c r="A43" s="1"/>
      <c r="B43" s="104" t="s">
        <v>166</v>
      </c>
      <c r="C43" s="105"/>
      <c r="D43" s="105"/>
      <c r="E43" s="105"/>
      <c r="F43" s="106"/>
      <c r="G43" s="22">
        <f>(G41+G42)*'Fane 13. Nøgletal'!C33</f>
        <v>394306.95738834015</v>
      </c>
      <c r="H43" s="14" t="s">
        <v>3</v>
      </c>
      <c r="I43" s="1"/>
    </row>
    <row r="44" spans="1:9" x14ac:dyDescent="0.25">
      <c r="A44" s="1"/>
      <c r="B44" s="52"/>
      <c r="C44" s="53"/>
      <c r="D44" s="53"/>
      <c r="E44" s="53"/>
      <c r="F44" s="53"/>
      <c r="G44" s="35"/>
      <c r="H44" s="19"/>
      <c r="I44" s="1"/>
    </row>
    <row r="45" spans="1:9" x14ac:dyDescent="0.25">
      <c r="A45" s="1"/>
      <c r="B45" s="1"/>
      <c r="C45" s="1"/>
      <c r="D45" s="1"/>
      <c r="E45" s="1"/>
      <c r="F45" s="1"/>
      <c r="G45" s="36"/>
      <c r="H45" s="1"/>
      <c r="I45" s="1"/>
    </row>
    <row r="46" spans="1:9" x14ac:dyDescent="0.25">
      <c r="A46" s="1"/>
      <c r="B46" s="101" t="s">
        <v>158</v>
      </c>
      <c r="C46" s="102"/>
      <c r="D46" s="102"/>
      <c r="E46" s="102"/>
      <c r="F46" s="102"/>
      <c r="G46" s="102"/>
      <c r="H46" s="103"/>
      <c r="I46" s="1"/>
    </row>
    <row r="47" spans="1:9" x14ac:dyDescent="0.25">
      <c r="A47" s="1"/>
      <c r="B47" s="104" t="s">
        <v>112</v>
      </c>
      <c r="C47" s="105"/>
      <c r="D47" s="105"/>
      <c r="E47" s="105"/>
      <c r="F47" s="106"/>
      <c r="G47" s="22">
        <f>(G41+G42-G43)*(1+'Fane 13. Nøgletal'!C15)</f>
        <v>20008869.968496889</v>
      </c>
      <c r="H47" s="14" t="s">
        <v>3</v>
      </c>
      <c r="I47" s="1"/>
    </row>
    <row r="48" spans="1:9" x14ac:dyDescent="0.25">
      <c r="A48" s="1"/>
      <c r="B48" s="104" t="s">
        <v>206</v>
      </c>
      <c r="C48" s="105"/>
      <c r="D48" s="105"/>
      <c r="E48" s="105"/>
      <c r="F48" s="106"/>
      <c r="G48" s="22">
        <f>('Fane 2.1. Økonomisk ramme 2024'!C9+'Fane 2.1. Økonomisk ramme 2024'!C11+'Fane 2.1. Økonomisk ramme 2024'!C13)*(1+'Fane 13. Nøgletal'!C16)</f>
        <v>372281.42943935998</v>
      </c>
      <c r="H48" s="14" t="s">
        <v>3</v>
      </c>
      <c r="I48" s="1"/>
    </row>
    <row r="49" spans="1:9" x14ac:dyDescent="0.25">
      <c r="A49" s="1"/>
      <c r="B49" s="104" t="s">
        <v>167</v>
      </c>
      <c r="C49" s="105"/>
      <c r="D49" s="105"/>
      <c r="E49" s="105"/>
      <c r="F49" s="106"/>
      <c r="G49" s="22">
        <f>G47*'Fane 13. Nøgletal'!C33+G48*'Fane 13. Nøgletal'!C33</f>
        <v>407623.027958725</v>
      </c>
      <c r="H49" s="14" t="s">
        <v>3</v>
      </c>
      <c r="I49" s="1"/>
    </row>
    <row r="50" spans="1:9" x14ac:dyDescent="0.25">
      <c r="A50" s="1"/>
      <c r="B50" s="52"/>
      <c r="C50" s="53"/>
      <c r="D50" s="53"/>
      <c r="E50" s="53"/>
      <c r="F50" s="53"/>
      <c r="G50" s="35"/>
      <c r="H50" s="19"/>
      <c r="I50" s="1"/>
    </row>
    <row r="51" spans="1:9" x14ac:dyDescent="0.25">
      <c r="A51" s="1"/>
      <c r="B51" s="1"/>
      <c r="C51" s="1"/>
      <c r="D51" s="1"/>
      <c r="E51" s="1"/>
      <c r="F51" s="1"/>
      <c r="G51" s="36"/>
      <c r="H51" s="1"/>
      <c r="I51" s="1"/>
    </row>
    <row r="52" spans="1:9" x14ac:dyDescent="0.25">
      <c r="A52" s="1"/>
      <c r="B52" s="101" t="s">
        <v>133</v>
      </c>
      <c r="C52" s="102"/>
      <c r="D52" s="102"/>
      <c r="E52" s="102"/>
      <c r="F52" s="102"/>
      <c r="G52" s="102"/>
      <c r="H52" s="103"/>
      <c r="I52" s="1"/>
    </row>
    <row r="53" spans="1:9" x14ac:dyDescent="0.25">
      <c r="A53" s="1"/>
      <c r="B53" s="104" t="s">
        <v>134</v>
      </c>
      <c r="C53" s="105"/>
      <c r="D53" s="105"/>
      <c r="E53" s="105"/>
      <c r="F53" s="106"/>
      <c r="G53" s="22">
        <f>(G47+G48-G49)*(1+'Fane 13. Nøgletal'!C16)</f>
        <v>21587389.462271705</v>
      </c>
      <c r="H53" s="14" t="s">
        <v>3</v>
      </c>
      <c r="I53" s="1"/>
    </row>
    <row r="54" spans="1:9" x14ac:dyDescent="0.25">
      <c r="A54" s="1"/>
      <c r="B54" s="104" t="s">
        <v>135</v>
      </c>
      <c r="C54" s="105"/>
      <c r="D54" s="105"/>
      <c r="E54" s="105"/>
      <c r="F54" s="106"/>
      <c r="G54" s="22">
        <f>(G53)*'Fane 13. Nøgletal'!C33</f>
        <v>431747.78924543411</v>
      </c>
      <c r="H54" s="14" t="s">
        <v>3</v>
      </c>
      <c r="I54" s="1"/>
    </row>
    <row r="55" spans="1:9" x14ac:dyDescent="0.25">
      <c r="A55" s="1"/>
      <c r="B55" s="52"/>
      <c r="C55" s="53"/>
      <c r="D55" s="53"/>
      <c r="E55" s="53"/>
      <c r="F55" s="53"/>
      <c r="G55" s="35"/>
      <c r="H55" s="19"/>
      <c r="I55" s="1"/>
    </row>
    <row r="56" spans="1:9" x14ac:dyDescent="0.25">
      <c r="A56" s="1"/>
      <c r="B56" s="1"/>
      <c r="C56" s="1"/>
      <c r="D56" s="1"/>
      <c r="E56" s="1"/>
      <c r="F56" s="1"/>
      <c r="G56" s="36"/>
      <c r="H56" s="1"/>
      <c r="I56" s="1"/>
    </row>
    <row r="57" spans="1:9" x14ac:dyDescent="0.25">
      <c r="A57" s="1"/>
      <c r="B57" s="101" t="s">
        <v>144</v>
      </c>
      <c r="C57" s="102"/>
      <c r="D57" s="102"/>
      <c r="E57" s="102"/>
      <c r="F57" s="102"/>
      <c r="G57" s="102"/>
      <c r="H57" s="103"/>
      <c r="I57" s="1"/>
    </row>
    <row r="58" spans="1:9" x14ac:dyDescent="0.25">
      <c r="A58" s="1"/>
      <c r="B58" s="104" t="s">
        <v>145</v>
      </c>
      <c r="C58" s="105"/>
      <c r="D58" s="105"/>
      <c r="E58" s="105"/>
      <c r="F58" s="106"/>
      <c r="G58" s="22">
        <f>(G53-G54)*(1+'Fane 13. Nøgletal'!C16)</f>
        <v>22865017.520206794</v>
      </c>
      <c r="H58" s="14" t="s">
        <v>3</v>
      </c>
      <c r="I58" s="1"/>
    </row>
    <row r="59" spans="1:9" x14ac:dyDescent="0.25">
      <c r="A59" s="1"/>
      <c r="B59" s="104" t="s">
        <v>146</v>
      </c>
      <c r="C59" s="105"/>
      <c r="D59" s="105"/>
      <c r="E59" s="105"/>
      <c r="F59" s="106"/>
      <c r="G59" s="22">
        <f>(G58)*'Fane 13. Nøgletal'!C33</f>
        <v>457300.35040413588</v>
      </c>
      <c r="H59" s="14" t="s">
        <v>3</v>
      </c>
      <c r="I59" s="1"/>
    </row>
    <row r="60" spans="1:9" x14ac:dyDescent="0.25">
      <c r="A60" s="1"/>
      <c r="B60" s="52"/>
      <c r="C60" s="53"/>
      <c r="D60" s="53"/>
      <c r="E60" s="53"/>
      <c r="F60" s="53"/>
      <c r="G60" s="35"/>
      <c r="H60" s="19"/>
      <c r="I60" s="1"/>
    </row>
    <row r="61" spans="1:9" x14ac:dyDescent="0.25">
      <c r="A61" s="1"/>
      <c r="B61" s="1"/>
      <c r="C61" s="1"/>
      <c r="D61" s="1"/>
      <c r="E61" s="1"/>
      <c r="F61" s="1"/>
      <c r="G61" s="36"/>
      <c r="H61" s="1"/>
      <c r="I61" s="1"/>
    </row>
    <row r="62" spans="1:9" x14ac:dyDescent="0.25">
      <c r="A62" s="1"/>
      <c r="B62" s="101" t="s">
        <v>220</v>
      </c>
      <c r="C62" s="102"/>
      <c r="D62" s="102"/>
      <c r="E62" s="102"/>
      <c r="F62" s="102"/>
      <c r="G62" s="102"/>
      <c r="H62" s="103"/>
      <c r="I62" s="1"/>
    </row>
    <row r="63" spans="1:9" x14ac:dyDescent="0.25">
      <c r="A63" s="1"/>
      <c r="B63" s="104" t="s">
        <v>221</v>
      </c>
      <c r="C63" s="105"/>
      <c r="D63" s="105"/>
      <c r="E63" s="105"/>
      <c r="F63" s="106"/>
      <c r="G63" s="22">
        <f>(G58-G59)*(1+'Fane 13. Nøgletal'!C16)</f>
        <v>24218260.717122711</v>
      </c>
      <c r="H63" s="14" t="s">
        <v>3</v>
      </c>
      <c r="I63" s="1"/>
    </row>
    <row r="64" spans="1:9" x14ac:dyDescent="0.25">
      <c r="A64" s="1"/>
      <c r="B64" s="104" t="s">
        <v>222</v>
      </c>
      <c r="C64" s="105"/>
      <c r="D64" s="105"/>
      <c r="E64" s="105"/>
      <c r="F64" s="106"/>
      <c r="G64" s="22">
        <f>(G63)*'Fane 13. Nøgletal'!C33</f>
        <v>484365.21434245422</v>
      </c>
      <c r="H64" s="14" t="s">
        <v>3</v>
      </c>
      <c r="I64" s="1"/>
    </row>
    <row r="65" spans="1:9" x14ac:dyDescent="0.25">
      <c r="A65" s="1"/>
      <c r="B65" s="52"/>
      <c r="C65" s="53"/>
      <c r="D65" s="53"/>
      <c r="E65" s="53"/>
      <c r="F65" s="53"/>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bszuuNfnBJfnw96KM/fCyCP5wB8qhYfGdDisyfKTCqtGtSEg7nAaLSKse2hCW98NV9Q2iSa4vjcIYL2/wfXxmw==" saltValue="Y/3SY++BPIZZq1XZC6rcKw==" spinCount="100000" sheet="1" objects="1" scenarios="1"/>
  <mergeCells count="42">
    <mergeCell ref="B16:F16"/>
    <mergeCell ref="B18:F18"/>
    <mergeCell ref="B17:F17"/>
    <mergeCell ref="B19:F19"/>
    <mergeCell ref="B23:F23"/>
    <mergeCell ref="B15:H15"/>
    <mergeCell ref="B1:H3"/>
    <mergeCell ref="B4:H4"/>
    <mergeCell ref="B5:F5"/>
    <mergeCell ref="B6:F6"/>
    <mergeCell ref="B10:F10"/>
    <mergeCell ref="B9:H9"/>
    <mergeCell ref="B11:F11"/>
    <mergeCell ref="B12:F12"/>
    <mergeCell ref="B25:F25"/>
    <mergeCell ref="B35:F35"/>
    <mergeCell ref="B30:F30"/>
    <mergeCell ref="B31:F31"/>
    <mergeCell ref="B22:H22"/>
    <mergeCell ref="B24:F24"/>
    <mergeCell ref="B28:H28"/>
    <mergeCell ref="B29:F29"/>
    <mergeCell ref="B34:H34"/>
    <mergeCell ref="B37:F37"/>
    <mergeCell ref="B46:H46"/>
    <mergeCell ref="B48:F48"/>
    <mergeCell ref="B36:F36"/>
    <mergeCell ref="B57:H57"/>
    <mergeCell ref="B47:F47"/>
    <mergeCell ref="B49:F49"/>
    <mergeCell ref="B40:H40"/>
    <mergeCell ref="B41:F41"/>
    <mergeCell ref="B43:F43"/>
    <mergeCell ref="B42:F42"/>
    <mergeCell ref="B62:H62"/>
    <mergeCell ref="B63:F63"/>
    <mergeCell ref="B64:F64"/>
    <mergeCell ref="B59:F59"/>
    <mergeCell ref="B52:H52"/>
    <mergeCell ref="B53:F53"/>
    <mergeCell ref="B54:F54"/>
    <mergeCell ref="B58:F5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10" t="s">
        <v>91</v>
      </c>
      <c r="C1" s="111"/>
      <c r="D1" s="111"/>
      <c r="E1" s="111"/>
      <c r="F1" s="111"/>
      <c r="G1" s="111"/>
      <c r="H1" s="111"/>
      <c r="I1" s="1"/>
    </row>
    <row r="2" spans="1:9" ht="19.899999999999999" customHeight="1" x14ac:dyDescent="0.25">
      <c r="A2" s="1"/>
      <c r="B2" s="111"/>
      <c r="C2" s="111"/>
      <c r="D2" s="111"/>
      <c r="E2" s="111"/>
      <c r="F2" s="111"/>
      <c r="G2" s="111"/>
      <c r="H2" s="111"/>
      <c r="I2" s="1"/>
    </row>
    <row r="3" spans="1:9" ht="15" customHeight="1" x14ac:dyDescent="0.25">
      <c r="A3" s="1"/>
      <c r="B3" s="112"/>
      <c r="C3" s="112"/>
      <c r="D3" s="112"/>
      <c r="E3" s="112"/>
      <c r="F3" s="112"/>
      <c r="G3" s="112"/>
      <c r="H3" s="112"/>
      <c r="I3" s="1"/>
    </row>
    <row r="4" spans="1:9" x14ac:dyDescent="0.25">
      <c r="A4" s="1"/>
      <c r="B4" s="101" t="s">
        <v>48</v>
      </c>
      <c r="C4" s="102"/>
      <c r="D4" s="102"/>
      <c r="E4" s="102"/>
      <c r="F4" s="102"/>
      <c r="G4" s="102"/>
      <c r="H4" s="103"/>
      <c r="I4" s="1"/>
    </row>
    <row r="5" spans="1:9" x14ac:dyDescent="0.25">
      <c r="A5" s="1"/>
      <c r="B5" s="104" t="s">
        <v>51</v>
      </c>
      <c r="C5" s="105"/>
      <c r="D5" s="105"/>
      <c r="E5" s="105"/>
      <c r="F5" s="106"/>
      <c r="G5" s="47">
        <v>10146511.14422214</v>
      </c>
      <c r="H5" s="14" t="s">
        <v>3</v>
      </c>
      <c r="I5" s="1"/>
    </row>
    <row r="6" spans="1:9" x14ac:dyDescent="0.25">
      <c r="A6" s="1"/>
      <c r="B6" s="104" t="s">
        <v>49</v>
      </c>
      <c r="C6" s="105"/>
      <c r="D6" s="105"/>
      <c r="E6" s="105"/>
      <c r="F6" s="106"/>
      <c r="G6" s="22">
        <f>G5*'Fane 13. Nøgletal'!C21</f>
        <v>92333.251412421479</v>
      </c>
      <c r="H6" s="14" t="s">
        <v>3</v>
      </c>
      <c r="I6" s="1"/>
    </row>
    <row r="7" spans="1:9" x14ac:dyDescent="0.25">
      <c r="A7" s="1"/>
      <c r="B7" s="52"/>
      <c r="C7" s="53"/>
      <c r="D7" s="53"/>
      <c r="E7" s="53"/>
      <c r="F7" s="53"/>
      <c r="G7" s="53"/>
      <c r="H7" s="19"/>
      <c r="I7" s="1"/>
    </row>
    <row r="8" spans="1:9" x14ac:dyDescent="0.25">
      <c r="A8" s="1"/>
      <c r="B8" s="1"/>
      <c r="C8" s="1"/>
      <c r="D8" s="1"/>
      <c r="E8" s="1"/>
      <c r="F8" s="1"/>
      <c r="G8" s="1"/>
      <c r="H8" s="1"/>
      <c r="I8" s="1"/>
    </row>
    <row r="9" spans="1:9" x14ac:dyDescent="0.25">
      <c r="A9" s="1"/>
      <c r="B9" s="101" t="s">
        <v>52</v>
      </c>
      <c r="C9" s="102"/>
      <c r="D9" s="102"/>
      <c r="E9" s="102"/>
      <c r="F9" s="102"/>
      <c r="G9" s="102"/>
      <c r="H9" s="103"/>
      <c r="I9" s="1"/>
    </row>
    <row r="10" spans="1:9" x14ac:dyDescent="0.25">
      <c r="A10" s="1"/>
      <c r="B10" s="104" t="s">
        <v>53</v>
      </c>
      <c r="C10" s="105"/>
      <c r="D10" s="105"/>
      <c r="E10" s="105"/>
      <c r="F10" s="106"/>
      <c r="G10" s="22">
        <f>(G5-G6)*(1+'Fane 13. Nøgletal'!C9)</f>
        <v>10181865.952048402</v>
      </c>
      <c r="H10" s="14" t="s">
        <v>3</v>
      </c>
      <c r="I10" s="1"/>
    </row>
    <row r="11" spans="1:9" x14ac:dyDescent="0.25">
      <c r="A11" s="1"/>
      <c r="B11" s="107" t="s">
        <v>54</v>
      </c>
      <c r="C11" s="108"/>
      <c r="D11" s="108"/>
      <c r="E11" s="108"/>
      <c r="F11" s="109"/>
      <c r="G11" s="48">
        <v>0</v>
      </c>
      <c r="H11" s="14" t="s">
        <v>3</v>
      </c>
      <c r="I11" s="1"/>
    </row>
    <row r="12" spans="1:9" x14ac:dyDescent="0.25">
      <c r="A12" s="1"/>
      <c r="B12" s="104" t="s">
        <v>55</v>
      </c>
      <c r="C12" s="105"/>
      <c r="D12" s="105"/>
      <c r="E12" s="105"/>
      <c r="F12" s="106"/>
      <c r="G12" s="22">
        <f>G10*'Fane 13. Nøgletal'!C21+G11*'Fane 13. Nøgletal'!C22</f>
        <v>92654.980163640459</v>
      </c>
      <c r="H12" s="14" t="s">
        <v>3</v>
      </c>
      <c r="I12" s="1"/>
    </row>
    <row r="13" spans="1:9" x14ac:dyDescent="0.25">
      <c r="A13" s="1"/>
      <c r="B13" s="52"/>
      <c r="C13" s="53"/>
      <c r="D13" s="53"/>
      <c r="E13" s="53"/>
      <c r="F13" s="53"/>
      <c r="G13" s="53"/>
      <c r="H13" s="19"/>
      <c r="I13" s="1"/>
    </row>
    <row r="14" spans="1:9" x14ac:dyDescent="0.25">
      <c r="A14" s="1"/>
      <c r="B14" s="1"/>
      <c r="C14" s="1"/>
      <c r="D14" s="1"/>
      <c r="E14" s="1"/>
      <c r="F14" s="1"/>
      <c r="G14" s="1"/>
      <c r="H14" s="1"/>
      <c r="I14" s="1"/>
    </row>
    <row r="15" spans="1:9" x14ac:dyDescent="0.25">
      <c r="A15" s="1"/>
      <c r="B15" s="101" t="s">
        <v>56</v>
      </c>
      <c r="C15" s="102"/>
      <c r="D15" s="102"/>
      <c r="E15" s="102"/>
      <c r="F15" s="102"/>
      <c r="G15" s="102"/>
      <c r="H15" s="103"/>
      <c r="I15" s="1"/>
    </row>
    <row r="16" spans="1:9" x14ac:dyDescent="0.25">
      <c r="A16" s="1"/>
      <c r="B16" s="104" t="s">
        <v>57</v>
      </c>
      <c r="C16" s="105"/>
      <c r="D16" s="105"/>
      <c r="E16" s="105"/>
      <c r="F16" s="106"/>
      <c r="G16" s="22">
        <f>(G10+G11-G12)*(1+'Fane 13. Nøgletal'!C11)</f>
        <v>10259718.637309613</v>
      </c>
      <c r="H16" s="14" t="s">
        <v>3</v>
      </c>
      <c r="I16" s="1"/>
    </row>
    <row r="17" spans="1:9" x14ac:dyDescent="0.25">
      <c r="A17" s="1"/>
      <c r="B17" s="104" t="s">
        <v>101</v>
      </c>
      <c r="C17" s="105"/>
      <c r="D17" s="105"/>
      <c r="E17" s="105"/>
      <c r="F17" s="106"/>
      <c r="G17" s="47">
        <v>129414.28448585492</v>
      </c>
      <c r="H17" s="14" t="s">
        <v>3</v>
      </c>
      <c r="I17" s="1"/>
    </row>
    <row r="18" spans="1:9" x14ac:dyDescent="0.25">
      <c r="A18" s="1"/>
      <c r="B18" s="107" t="s">
        <v>58</v>
      </c>
      <c r="C18" s="108"/>
      <c r="D18" s="108"/>
      <c r="E18" s="108"/>
      <c r="F18" s="109"/>
      <c r="G18" s="47">
        <v>659073.42944789003</v>
      </c>
      <c r="H18" s="14" t="s">
        <v>3</v>
      </c>
      <c r="I18" s="1"/>
    </row>
    <row r="19" spans="1:9" x14ac:dyDescent="0.25">
      <c r="A19" s="1"/>
      <c r="B19" s="104" t="s">
        <v>59</v>
      </c>
      <c r="C19" s="105"/>
      <c r="D19" s="105"/>
      <c r="E19" s="105"/>
      <c r="F19" s="106"/>
      <c r="G19" s="22">
        <f>(G16+G17+G18)*'Fane 13. Nøgletal'!C23</f>
        <v>96119.395255817188</v>
      </c>
      <c r="H19" s="14" t="s">
        <v>3</v>
      </c>
      <c r="I19" s="1"/>
    </row>
    <row r="20" spans="1:9" x14ac:dyDescent="0.25">
      <c r="A20" s="1"/>
      <c r="B20" s="52"/>
      <c r="C20" s="53"/>
      <c r="D20" s="53"/>
      <c r="E20" s="53"/>
      <c r="F20" s="53"/>
      <c r="G20" s="53"/>
      <c r="H20" s="19"/>
      <c r="I20" s="1"/>
    </row>
    <row r="21" spans="1:9" x14ac:dyDescent="0.25">
      <c r="A21" s="1"/>
      <c r="B21" s="1"/>
      <c r="C21" s="1"/>
      <c r="D21" s="1"/>
      <c r="E21" s="1"/>
      <c r="F21" s="1"/>
      <c r="G21" s="1"/>
      <c r="H21" s="1"/>
      <c r="I21" s="1"/>
    </row>
    <row r="22" spans="1:9" x14ac:dyDescent="0.25">
      <c r="A22" s="1"/>
      <c r="B22" s="101" t="s">
        <v>60</v>
      </c>
      <c r="C22" s="102"/>
      <c r="D22" s="102"/>
      <c r="E22" s="102"/>
      <c r="F22" s="102"/>
      <c r="G22" s="102"/>
      <c r="H22" s="103"/>
      <c r="I22" s="1"/>
    </row>
    <row r="23" spans="1:9" x14ac:dyDescent="0.25">
      <c r="A23" s="1"/>
      <c r="B23" s="104" t="s">
        <v>61</v>
      </c>
      <c r="C23" s="105"/>
      <c r="D23" s="105"/>
      <c r="E23" s="105"/>
      <c r="F23" s="106"/>
      <c r="G23" s="22">
        <f>(SUM(G16:G18)-G19)*(1+'Fane 13. Nøgletal'!C11)</f>
        <v>11137177.225543728</v>
      </c>
      <c r="H23" s="14" t="s">
        <v>3</v>
      </c>
      <c r="I23" s="1"/>
    </row>
    <row r="24" spans="1:9" x14ac:dyDescent="0.25">
      <c r="A24" s="1"/>
      <c r="B24" s="107" t="s">
        <v>62</v>
      </c>
      <c r="C24" s="108"/>
      <c r="D24" s="108"/>
      <c r="E24" s="108"/>
      <c r="F24" s="109"/>
      <c r="G24" s="47">
        <v>9053.8820085087009</v>
      </c>
      <c r="H24" s="14" t="s">
        <v>3</v>
      </c>
      <c r="I24" s="1"/>
    </row>
    <row r="25" spans="1:9" x14ac:dyDescent="0.25">
      <c r="A25" s="1"/>
      <c r="B25" s="104" t="s">
        <v>63</v>
      </c>
      <c r="C25" s="105"/>
      <c r="D25" s="105"/>
      <c r="E25" s="105"/>
      <c r="F25" s="106"/>
      <c r="G25" s="22">
        <f>G23*'Fane 13. Nøgletal'!C23+G24*'Fane 13. Nøgletal'!C24</f>
        <v>97150.572111272064</v>
      </c>
      <c r="H25" s="14" t="s">
        <v>3</v>
      </c>
      <c r="I25" s="1"/>
    </row>
    <row r="26" spans="1:9" x14ac:dyDescent="0.25">
      <c r="A26" s="1"/>
      <c r="B26" s="52"/>
      <c r="C26" s="53"/>
      <c r="D26" s="53"/>
      <c r="E26" s="53"/>
      <c r="F26" s="53"/>
      <c r="G26" s="53"/>
      <c r="H26" s="19"/>
      <c r="I26" s="1"/>
    </row>
    <row r="27" spans="1:9" x14ac:dyDescent="0.25">
      <c r="A27" s="1"/>
      <c r="B27" s="1"/>
      <c r="C27" s="1"/>
      <c r="D27" s="1"/>
      <c r="E27" s="1"/>
      <c r="F27" s="1"/>
      <c r="G27" s="1"/>
      <c r="H27" s="1"/>
      <c r="I27" s="1"/>
    </row>
    <row r="28" spans="1:9" x14ac:dyDescent="0.25">
      <c r="A28" s="1"/>
      <c r="B28" s="101" t="s">
        <v>119</v>
      </c>
      <c r="C28" s="102"/>
      <c r="D28" s="102"/>
      <c r="E28" s="102"/>
      <c r="F28" s="102"/>
      <c r="G28" s="102"/>
      <c r="H28" s="103"/>
      <c r="I28" s="1"/>
    </row>
    <row r="29" spans="1:9" x14ac:dyDescent="0.25">
      <c r="A29" s="1"/>
      <c r="B29" s="104" t="s">
        <v>64</v>
      </c>
      <c r="C29" s="105"/>
      <c r="D29" s="105"/>
      <c r="E29" s="105"/>
      <c r="F29" s="106"/>
      <c r="G29" s="22">
        <f>(G23+G24-G25)*(1+'Fane 13. Nøgletal'!C13)</f>
        <v>11183879.317973344</v>
      </c>
      <c r="H29" s="14" t="s">
        <v>3</v>
      </c>
      <c r="I29" s="1"/>
    </row>
    <row r="30" spans="1:9" x14ac:dyDescent="0.25">
      <c r="A30" s="1"/>
      <c r="B30" s="104" t="s">
        <v>113</v>
      </c>
      <c r="C30" s="105"/>
      <c r="D30" s="105"/>
      <c r="E30" s="105"/>
      <c r="F30" s="106"/>
      <c r="G30" s="47">
        <v>292460.54002451996</v>
      </c>
      <c r="H30" s="14" t="s">
        <v>3</v>
      </c>
      <c r="I30" s="1"/>
    </row>
    <row r="31" spans="1:9" x14ac:dyDescent="0.25">
      <c r="A31" s="1"/>
      <c r="B31" s="104" t="s">
        <v>120</v>
      </c>
      <c r="C31" s="105"/>
      <c r="D31" s="105"/>
      <c r="E31" s="105"/>
      <c r="F31" s="106"/>
      <c r="G31" s="22">
        <f>(G29+G30)*'Fane 13. Nøgletal'!C25</f>
        <v>315599.34609494125</v>
      </c>
      <c r="H31" s="14" t="s">
        <v>3</v>
      </c>
      <c r="I31" s="1"/>
    </row>
    <row r="32" spans="1:9" x14ac:dyDescent="0.25">
      <c r="A32" s="1"/>
      <c r="B32" s="52"/>
      <c r="C32" s="53"/>
      <c r="D32" s="53"/>
      <c r="E32" s="53"/>
      <c r="F32" s="53"/>
      <c r="G32" s="53"/>
      <c r="H32" s="19"/>
      <c r="I32" s="1"/>
    </row>
    <row r="33" spans="1:9" x14ac:dyDescent="0.25">
      <c r="A33" s="1"/>
      <c r="B33" s="1"/>
      <c r="C33" s="1"/>
      <c r="D33" s="1"/>
      <c r="E33" s="1"/>
      <c r="F33" s="1"/>
      <c r="G33" s="1"/>
      <c r="H33" s="1"/>
      <c r="I33" s="1"/>
    </row>
    <row r="34" spans="1:9" x14ac:dyDescent="0.25">
      <c r="A34" s="1"/>
      <c r="B34" s="101" t="s">
        <v>124</v>
      </c>
      <c r="C34" s="102"/>
      <c r="D34" s="102"/>
      <c r="E34" s="102"/>
      <c r="F34" s="102"/>
      <c r="G34" s="102"/>
      <c r="H34" s="103"/>
      <c r="I34" s="1"/>
    </row>
    <row r="35" spans="1:9" x14ac:dyDescent="0.25">
      <c r="A35" s="1"/>
      <c r="B35" s="104" t="s">
        <v>67</v>
      </c>
      <c r="C35" s="105"/>
      <c r="D35" s="105"/>
      <c r="E35" s="105"/>
      <c r="F35" s="106"/>
      <c r="G35" s="22">
        <f>(G29+G30-G31)*(1+'Fane 13. Nøgletal'!C13)</f>
        <v>11296901.546148138</v>
      </c>
      <c r="H35" s="14" t="s">
        <v>3</v>
      </c>
      <c r="I35" s="1"/>
    </row>
    <row r="36" spans="1:9" x14ac:dyDescent="0.25">
      <c r="A36" s="1"/>
      <c r="B36" s="104" t="s">
        <v>129</v>
      </c>
      <c r="C36" s="105"/>
      <c r="D36" s="105"/>
      <c r="E36" s="105"/>
      <c r="F36" s="106"/>
      <c r="G36" s="22">
        <v>446464.14126348007</v>
      </c>
      <c r="H36" s="14" t="s">
        <v>3</v>
      </c>
      <c r="I36" s="1"/>
    </row>
    <row r="37" spans="1:9" x14ac:dyDescent="0.25">
      <c r="A37" s="1"/>
      <c r="B37" s="104" t="s">
        <v>125</v>
      </c>
      <c r="C37" s="105"/>
      <c r="D37" s="105"/>
      <c r="E37" s="105"/>
      <c r="F37" s="106"/>
      <c r="G37" s="22">
        <f>G35*'Fane 13. Nøgletal'!C25+G36*'Fane 13. Nøgletal'!C26</f>
        <v>317272.46180977335</v>
      </c>
      <c r="H37" s="14" t="s">
        <v>3</v>
      </c>
      <c r="I37" s="1"/>
    </row>
    <row r="38" spans="1:9" x14ac:dyDescent="0.25">
      <c r="A38" s="1"/>
      <c r="B38" s="52"/>
      <c r="C38" s="53"/>
      <c r="D38" s="53"/>
      <c r="E38" s="53"/>
      <c r="F38" s="53"/>
      <c r="G38" s="53"/>
      <c r="H38" s="19"/>
      <c r="I38" s="1"/>
    </row>
    <row r="39" spans="1:9" x14ac:dyDescent="0.25">
      <c r="A39" s="1"/>
      <c r="B39" s="1"/>
      <c r="C39" s="1"/>
      <c r="D39" s="1"/>
      <c r="E39" s="1"/>
      <c r="F39" s="1"/>
      <c r="G39" s="1"/>
      <c r="H39" s="1"/>
      <c r="I39" s="1"/>
    </row>
    <row r="40" spans="1:9" x14ac:dyDescent="0.25">
      <c r="A40" s="1"/>
      <c r="B40" s="101" t="s">
        <v>159</v>
      </c>
      <c r="C40" s="102"/>
      <c r="D40" s="102"/>
      <c r="E40" s="102"/>
      <c r="F40" s="102"/>
      <c r="G40" s="102"/>
      <c r="H40" s="103"/>
      <c r="I40" s="1"/>
    </row>
    <row r="41" spans="1:9" x14ac:dyDescent="0.25">
      <c r="A41" s="1"/>
      <c r="B41" s="104" t="s">
        <v>66</v>
      </c>
      <c r="C41" s="105"/>
      <c r="D41" s="105"/>
      <c r="E41" s="105"/>
      <c r="F41" s="106"/>
      <c r="G41" s="22">
        <f>(G35+G36-G37)*(1+'Fane 13. Nøgletal'!C15)</f>
        <v>11832862.144433271</v>
      </c>
      <c r="H41" s="14" t="s">
        <v>3</v>
      </c>
      <c r="I41" s="1"/>
    </row>
    <row r="42" spans="1:9" x14ac:dyDescent="0.25">
      <c r="A42" s="1"/>
      <c r="B42" s="104" t="s">
        <v>169</v>
      </c>
      <c r="C42" s="105"/>
      <c r="D42" s="105"/>
      <c r="E42" s="105"/>
      <c r="F42" s="106"/>
      <c r="G42" s="9">
        <v>280416.96815184003</v>
      </c>
      <c r="H42" s="14" t="s">
        <v>3</v>
      </c>
      <c r="I42" s="1"/>
    </row>
    <row r="43" spans="1:9" x14ac:dyDescent="0.25">
      <c r="A43" s="1"/>
      <c r="B43" s="104" t="s">
        <v>65</v>
      </c>
      <c r="C43" s="105"/>
      <c r="D43" s="105"/>
      <c r="E43" s="105"/>
      <c r="F43" s="106"/>
      <c r="G43" s="56">
        <f>(G41+G42)*'Fane 13. Nøgletal'!C27</f>
        <v>0</v>
      </c>
      <c r="H43" s="14" t="s">
        <v>3</v>
      </c>
      <c r="I43" s="1"/>
    </row>
    <row r="44" spans="1:9" x14ac:dyDescent="0.25">
      <c r="A44" s="1"/>
      <c r="B44" s="52"/>
      <c r="C44" s="53"/>
      <c r="D44" s="53"/>
      <c r="E44" s="53"/>
      <c r="F44" s="53"/>
      <c r="G44" s="53"/>
      <c r="H44" s="19"/>
      <c r="I44" s="1"/>
    </row>
    <row r="45" spans="1:9" ht="12" customHeight="1" x14ac:dyDescent="0.25">
      <c r="A45" s="1"/>
      <c r="B45" s="1"/>
      <c r="C45" s="1"/>
      <c r="D45" s="1"/>
      <c r="E45" s="1"/>
      <c r="F45" s="1"/>
      <c r="G45" s="1"/>
      <c r="H45" s="1"/>
      <c r="I45" s="1"/>
    </row>
    <row r="46" spans="1:9" x14ac:dyDescent="0.25">
      <c r="A46" s="1"/>
      <c r="B46" s="101" t="s">
        <v>160</v>
      </c>
      <c r="C46" s="102"/>
      <c r="D46" s="102"/>
      <c r="E46" s="102"/>
      <c r="F46" s="102"/>
      <c r="G46" s="102"/>
      <c r="H46" s="103"/>
      <c r="I46" s="1"/>
    </row>
    <row r="47" spans="1:9" x14ac:dyDescent="0.25">
      <c r="A47" s="1"/>
      <c r="B47" s="104" t="s">
        <v>114</v>
      </c>
      <c r="C47" s="105"/>
      <c r="D47" s="105"/>
      <c r="E47" s="105"/>
      <c r="F47" s="106"/>
      <c r="G47" s="22">
        <f>(G41+G42-G43)*(1+'Fane 13. Nøgletal'!C15)</f>
        <v>12544511.848993141</v>
      </c>
      <c r="H47" s="14" t="s">
        <v>3</v>
      </c>
      <c r="I47" s="1"/>
    </row>
    <row r="48" spans="1:9" x14ac:dyDescent="0.25">
      <c r="A48" s="1"/>
      <c r="B48" s="104" t="s">
        <v>210</v>
      </c>
      <c r="C48" s="105"/>
      <c r="D48" s="105"/>
      <c r="E48" s="105"/>
      <c r="F48" s="106"/>
      <c r="G48" s="22">
        <f>('Fane 2.1. Økonomisk ramme 2024'!C10+'Fane 2.1. Økonomisk ramme 2024'!C12+'Fane 2.1. Økonomisk ramme 2024'!C14)*(1+'Fane 13. Nøgletal'!C16)</f>
        <v>76529.947849599994</v>
      </c>
      <c r="H48" s="14" t="s">
        <v>3</v>
      </c>
      <c r="I48" s="1"/>
    </row>
    <row r="49" spans="1:9" x14ac:dyDescent="0.25">
      <c r="A49" s="1"/>
      <c r="B49" s="104" t="s">
        <v>211</v>
      </c>
      <c r="C49" s="105"/>
      <c r="D49" s="105"/>
      <c r="E49" s="105"/>
      <c r="F49" s="106"/>
      <c r="G49" s="56">
        <f>(G47)*'Fane 13. Nøgletal'!C27+G48*'Fane 13. Nøgletal'!C28</f>
        <v>0</v>
      </c>
      <c r="H49" s="14" t="s">
        <v>3</v>
      </c>
      <c r="I49" s="1"/>
    </row>
    <row r="50" spans="1:9" x14ac:dyDescent="0.25">
      <c r="A50" s="1"/>
      <c r="B50" s="52"/>
      <c r="C50" s="53"/>
      <c r="D50" s="53"/>
      <c r="E50" s="53"/>
      <c r="F50" s="53"/>
      <c r="G50" s="53"/>
      <c r="H50" s="19"/>
      <c r="I50" s="1"/>
    </row>
    <row r="51" spans="1:9" x14ac:dyDescent="0.25">
      <c r="A51" s="1"/>
      <c r="B51" s="1"/>
      <c r="C51" s="1"/>
      <c r="D51" s="1"/>
      <c r="E51" s="1"/>
      <c r="F51" s="1"/>
      <c r="G51" s="1"/>
      <c r="H51" s="1"/>
      <c r="I51" s="1"/>
    </row>
    <row r="52" spans="1:9" x14ac:dyDescent="0.25">
      <c r="A52" s="1"/>
      <c r="B52" s="101" t="s">
        <v>130</v>
      </c>
      <c r="C52" s="102"/>
      <c r="D52" s="102"/>
      <c r="E52" s="102"/>
      <c r="F52" s="102"/>
      <c r="G52" s="102"/>
      <c r="H52" s="103"/>
      <c r="I52" s="1"/>
    </row>
    <row r="53" spans="1:9" x14ac:dyDescent="0.25">
      <c r="A53" s="1"/>
      <c r="B53" s="104" t="s">
        <v>131</v>
      </c>
      <c r="C53" s="105"/>
      <c r="D53" s="105"/>
      <c r="E53" s="105"/>
      <c r="F53" s="106"/>
      <c r="G53" s="22">
        <f>(G47+G48-G49)*(1+'Fane 13. Nøgletal'!C16)</f>
        <v>13640821.974027634</v>
      </c>
      <c r="H53" s="14" t="s">
        <v>3</v>
      </c>
      <c r="I53" s="1"/>
    </row>
    <row r="54" spans="1:9" x14ac:dyDescent="0.25">
      <c r="A54" s="1"/>
      <c r="B54" s="104" t="s">
        <v>132</v>
      </c>
      <c r="C54" s="105"/>
      <c r="D54" s="105"/>
      <c r="E54" s="105"/>
      <c r="F54" s="106"/>
      <c r="G54" s="56">
        <f>(G53)*'Fane 13. Nøgletal'!C28</f>
        <v>0</v>
      </c>
      <c r="H54" s="14" t="s">
        <v>3</v>
      </c>
      <c r="I54" s="1"/>
    </row>
    <row r="55" spans="1:9" x14ac:dyDescent="0.25">
      <c r="A55" s="1"/>
      <c r="B55" s="52"/>
      <c r="C55" s="53"/>
      <c r="D55" s="53"/>
      <c r="E55" s="53"/>
      <c r="F55" s="53"/>
      <c r="G55" s="53"/>
      <c r="H55" s="19"/>
      <c r="I55" s="1"/>
    </row>
    <row r="56" spans="1:9" x14ac:dyDescent="0.25">
      <c r="A56" s="1"/>
      <c r="B56" s="1"/>
      <c r="C56" s="1"/>
      <c r="D56" s="1"/>
      <c r="E56" s="1"/>
      <c r="F56" s="1"/>
      <c r="G56" s="1"/>
      <c r="H56" s="1"/>
      <c r="I56" s="1"/>
    </row>
    <row r="57" spans="1:9" x14ac:dyDescent="0.25">
      <c r="A57" s="1"/>
      <c r="B57" s="101" t="s">
        <v>147</v>
      </c>
      <c r="C57" s="102"/>
      <c r="D57" s="102"/>
      <c r="E57" s="102"/>
      <c r="F57" s="102"/>
      <c r="G57" s="102"/>
      <c r="H57" s="103"/>
      <c r="I57" s="1"/>
    </row>
    <row r="58" spans="1:9" x14ac:dyDescent="0.25">
      <c r="A58" s="1"/>
      <c r="B58" s="104" t="s">
        <v>148</v>
      </c>
      <c r="C58" s="105"/>
      <c r="D58" s="105"/>
      <c r="E58" s="105"/>
      <c r="F58" s="106"/>
      <c r="G58" s="22">
        <f>(G53-G54)*(1+'Fane 13. Nøgletal'!C16)</f>
        <v>14743000.389529066</v>
      </c>
      <c r="H58" s="14" t="s">
        <v>3</v>
      </c>
      <c r="I58" s="1"/>
    </row>
    <row r="59" spans="1:9" x14ac:dyDescent="0.25">
      <c r="A59" s="1"/>
      <c r="B59" s="104" t="s">
        <v>149</v>
      </c>
      <c r="C59" s="105"/>
      <c r="D59" s="105"/>
      <c r="E59" s="105"/>
      <c r="F59" s="106"/>
      <c r="G59" s="56">
        <f>(G58)*'Fane 13. Nøgletal'!C28</f>
        <v>0</v>
      </c>
      <c r="H59" s="14" t="s">
        <v>3</v>
      </c>
      <c r="I59" s="1"/>
    </row>
    <row r="60" spans="1:9" x14ac:dyDescent="0.25">
      <c r="A60" s="1"/>
      <c r="B60" s="52"/>
      <c r="C60" s="53"/>
      <c r="D60" s="53"/>
      <c r="E60" s="53"/>
      <c r="F60" s="53"/>
      <c r="G60" s="53"/>
      <c r="H60" s="19"/>
      <c r="I60" s="1"/>
    </row>
    <row r="61" spans="1:9" x14ac:dyDescent="0.25">
      <c r="A61" s="1"/>
      <c r="B61" s="1"/>
      <c r="C61" s="1"/>
      <c r="D61" s="1"/>
      <c r="E61" s="1"/>
      <c r="F61" s="1"/>
      <c r="G61" s="1"/>
      <c r="H61" s="1"/>
      <c r="I61" s="1"/>
    </row>
    <row r="62" spans="1:9" x14ac:dyDescent="0.25">
      <c r="A62" s="1"/>
      <c r="B62" s="101" t="s">
        <v>223</v>
      </c>
      <c r="C62" s="102"/>
      <c r="D62" s="102"/>
      <c r="E62" s="102"/>
      <c r="F62" s="102"/>
      <c r="G62" s="102"/>
      <c r="H62" s="103"/>
      <c r="I62" s="1"/>
    </row>
    <row r="63" spans="1:9" x14ac:dyDescent="0.25">
      <c r="A63" s="1"/>
      <c r="B63" s="104" t="s">
        <v>224</v>
      </c>
      <c r="C63" s="105"/>
      <c r="D63" s="105"/>
      <c r="E63" s="105"/>
      <c r="F63" s="106"/>
      <c r="G63" s="22">
        <f>(G58-G59)*(1+'Fane 13. Nøgletal'!C16)</f>
        <v>15934234.821003014</v>
      </c>
      <c r="H63" s="14" t="s">
        <v>3</v>
      </c>
      <c r="I63" s="1"/>
    </row>
    <row r="64" spans="1:9" x14ac:dyDescent="0.25">
      <c r="A64" s="1"/>
      <c r="B64" s="104" t="s">
        <v>225</v>
      </c>
      <c r="C64" s="105"/>
      <c r="D64" s="105"/>
      <c r="E64" s="105"/>
      <c r="F64" s="106"/>
      <c r="G64" s="56">
        <f>(G63)*'Fane 13. Nøgletal'!C28</f>
        <v>0</v>
      </c>
      <c r="H64" s="14" t="s">
        <v>3</v>
      </c>
      <c r="I64" s="1"/>
    </row>
    <row r="65" spans="1:9" x14ac:dyDescent="0.25">
      <c r="A65" s="1"/>
      <c r="B65" s="52"/>
      <c r="C65" s="53"/>
      <c r="D65" s="53"/>
      <c r="E65" s="53"/>
      <c r="F65" s="53"/>
      <c r="G65" s="53"/>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XCiFctXUSc9lY2FJPcogr08otUt5vwZZrEI1coVgPaF3DsTdssge0MXlQAdG9cv9G7Wzt0bnU7L6FTCgr3r7dw==" saltValue="pFCywnxj3OUBe+9NzxRFPg==" spinCount="100000" sheet="1" objects="1" scenarios="1"/>
  <mergeCells count="42">
    <mergeCell ref="B47:F47"/>
    <mergeCell ref="B49:F49"/>
    <mergeCell ref="B36:F36"/>
    <mergeCell ref="B42:F42"/>
    <mergeCell ref="B41:F41"/>
    <mergeCell ref="B40:H40"/>
    <mergeCell ref="B37:F37"/>
    <mergeCell ref="B46:H46"/>
    <mergeCell ref="B48:F48"/>
    <mergeCell ref="B34:H34"/>
    <mergeCell ref="B12:F12"/>
    <mergeCell ref="B15:H15"/>
    <mergeCell ref="B16:F16"/>
    <mergeCell ref="B18:F18"/>
    <mergeCell ref="B30:F30"/>
    <mergeCell ref="B17:F17"/>
    <mergeCell ref="B22:H22"/>
    <mergeCell ref="B23:F23"/>
    <mergeCell ref="B24:F24"/>
    <mergeCell ref="B25:F25"/>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62:H62"/>
    <mergeCell ref="B63:F63"/>
    <mergeCell ref="B64:F64"/>
    <mergeCell ref="B57:H57"/>
    <mergeCell ref="B58:F58"/>
    <mergeCell ref="B59:F59"/>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7" t="s">
        <v>77</v>
      </c>
      <c r="C3" s="97"/>
      <c r="D3" s="97"/>
      <c r="E3" s="97"/>
      <c r="F3" s="97"/>
      <c r="G3" s="97"/>
      <c r="H3" s="1"/>
    </row>
    <row r="4" spans="1:8" ht="15" customHeight="1" x14ac:dyDescent="0.25">
      <c r="A4" s="1"/>
      <c r="B4" s="97"/>
      <c r="C4" s="97"/>
      <c r="D4" s="97"/>
      <c r="E4" s="97"/>
      <c r="F4" s="97"/>
      <c r="G4" s="9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1" t="s">
        <v>9</v>
      </c>
      <c r="C8" s="102"/>
      <c r="D8" s="102"/>
      <c r="E8" s="102"/>
      <c r="F8" s="102"/>
      <c r="G8" s="103"/>
      <c r="H8" s="1"/>
    </row>
    <row r="9" spans="1:8" x14ac:dyDescent="0.25">
      <c r="A9" s="1"/>
      <c r="B9" s="65" t="s">
        <v>150</v>
      </c>
      <c r="C9" s="66"/>
      <c r="D9" s="66"/>
      <c r="E9" s="66"/>
      <c r="F9" s="67"/>
      <c r="G9" s="51">
        <v>0.02</v>
      </c>
      <c r="H9" s="1"/>
    </row>
    <row r="10" spans="1:8" x14ac:dyDescent="0.25">
      <c r="A10" s="1"/>
      <c r="B10" s="52"/>
      <c r="C10" s="53"/>
      <c r="D10" s="53"/>
      <c r="E10" s="53"/>
      <c r="F10" s="53"/>
      <c r="G10" s="19"/>
      <c r="H10" s="1"/>
    </row>
    <row r="11" spans="1:8" ht="15" customHeight="1" x14ac:dyDescent="0.25">
      <c r="A11" s="1"/>
      <c r="B11" s="113" t="s">
        <v>236</v>
      </c>
      <c r="C11" s="114"/>
      <c r="D11" s="114"/>
      <c r="E11" s="114"/>
      <c r="F11" s="114"/>
      <c r="G11" s="115"/>
      <c r="H11" s="1"/>
    </row>
    <row r="12" spans="1:8" ht="13.5" customHeight="1" x14ac:dyDescent="0.25">
      <c r="A12" s="1"/>
      <c r="B12" s="116"/>
      <c r="C12" s="117"/>
      <c r="D12" s="117"/>
      <c r="E12" s="117"/>
      <c r="F12" s="117"/>
      <c r="G12" s="118"/>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AlziiqLdnu4lkWiB3CpEwY9iCPqVfBnZlCzyMlHHdjAm7Ca9jZcfqcUzvLILTOvrk3fAWD2my8PxpvN/pSTNQA==" saltValue="eq/Tv1pc0MqkA8Y/46a7WA=="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2023-11-14T17:08:51Z</dcterms:modified>
</cp:coreProperties>
</file>