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Sjælsø AS (V16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C13" i="19" l="1"/>
  <c r="E33" i="32" l="1"/>
  <c r="E39" i="32" s="1"/>
  <c r="E41" i="32" s="1"/>
  <c r="E16" i="27" l="1"/>
  <c r="E13" i="11" l="1"/>
  <c r="E14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5" i="11"/>
  <c r="C10" i="37" s="1"/>
  <c r="C12" i="37" s="1"/>
  <c r="G15" i="11"/>
  <c r="C13" i="37" l="1"/>
  <c r="C10" i="2" s="1"/>
  <c r="E11" i="21"/>
  <c r="E12" i="21" s="1"/>
  <c r="C11" i="21"/>
  <c r="C12" i="21" s="1"/>
  <c r="E11" i="29"/>
  <c r="E12" i="29" s="1"/>
  <c r="C11" i="29"/>
  <c r="C12" i="29" s="1"/>
  <c r="C14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5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<sst xmlns="http://schemas.openxmlformats.org/spreadsheetml/2006/main" count="600" uniqueCount="250">
  <si>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</si>
  <si>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</si>
  <si>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</si>
  <si>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</si>
  <si>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</si>
  <si>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</si>
  <si>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</si>
  <si>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</si>
  <si>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</si>
  <si>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</si>
  <si>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</si>
  <si>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</si>
  <si>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</si>
  <si>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</si>
  <si>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</si>
  <si>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</si>
  <si>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</si>
  <si>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</si>
  <si>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</si>
  <si>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</si>
  <si>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</si>
  <si>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</si>
  <si>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</si>
  <si>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</si>
  <si>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</si>
  <si>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</si>
  <si>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</si>
  <si>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</si>
  <si>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</si>
  <si>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</si>
  <si>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</si>
  <si>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</si>
  <si>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</si>
  <si>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</si>
  <si>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</si>
  <si>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</si>
  <si>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</si>
  <si>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</si>
  <si>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</si>
  <si>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</si>
  <si>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</si>
  <si>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</si>
  <si>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</si>
  <si>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</si>
  <si>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</si>
  <si>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</si>
  <si>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</si>
  <si>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</si>
  <si>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</si>
  <si>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</si>
  <si>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</si>
  <si>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</si>
  <si>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</si>
  <si>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</si>
  <si>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</si>
  <si>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</si>
  <si>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</si>
  <si>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</si>
  <si>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</si>
  <si>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</si>
  <si>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</si>
  <si>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</si>
  <si>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</si>
  <si>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</si>
  <si>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</si>
  <si>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</si>
  <si>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</si>
  <si>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</si>
  <si>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</si>
  <si>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</si>
  <si>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</si>
  <si>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</si>
  <si>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</si>
  <si>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</si>
  <si>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</si>
  <si>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</si>
  <si>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</si>
  <si>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</si>
  <si>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</si>
  <si>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</si>
  <si>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</si>
  <si>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</si>
  <si>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</si>
  <si>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</si>
  <si>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</si>
  <si>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</si>
  <si>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</si>
  <si>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</si>
  <si>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</si>
  <si>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</si>
  <si>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</si>
  <si>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</si>
  <si>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</si>
  <si>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</si>
  <si>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</si>
  <si>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</si>
  <si>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</si>
  <si>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</si>
  <si>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</si>
  <si>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</si>
  <si>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</si>
  <si>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</si>
  <si>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</si>
  <si>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</si>
  <si>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</si>
  <si>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</si>
  <si>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</si>
  <si>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</si>
  <si>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</si>
  <si>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</si>
  <si>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</si>
  <si>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</si>
  <si>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</si>
  <si>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</si>
  <si>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</si>
  <si>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</si>
  <si>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</si>
  <si>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</si>
  <si>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</si>
  <si>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</si>
  <si>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</si>
  <si>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</si>
  <si>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</si>
  <si>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</si>
  <si>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</si>
  <si>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</si>
  <si>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</si>
  <si>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</si>
  <si>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</si>
  <si>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</si>
  <si>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</si>
  <si>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</si>
  <si>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</si>
  <si>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</si>
  <si>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</si>
  <si>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</si>
  <si>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</si>
  <si>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</si>
  <si>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</si>
  <si>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</si>
  <si>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</si>
  <si>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</si>
  <si>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</si>
  <si>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</si>
  <si>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</si>
  <si>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</si>
  <si>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</si>
  <si>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</si>
  <si>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</si>
  <si>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</si>
  <si>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</si>
  <si>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</si>
  <si>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</si>
  <si>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</si>
  <si>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</si>
  <si>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</si>
  <si>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</si>
  <si>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</si>
  <si>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</si>
  <si>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</si>
  <si>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</si>
  <si>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</si>
  <si>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</si>
  <si>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</si>
  <si>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</si>
  <si>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</si>
  <si>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</si>
  <si>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</si>
  <si>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</si>
  <si>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</si>
  <si>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</si>
  <si>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</si>
  <si>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</si>
  <si>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</si>
  <si>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</si>
  <si>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</si>
  <si>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</si>
  <si>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</si>
  <si>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</si>
  <si>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</si>
  <si>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</si>
  <si>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</si>
  <si>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</si>
  <si>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</si>
  <si>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</si>
  <si>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</si>
  <si>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</si>
  <si>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</si>
  <si>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</si>
  <si>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</si>
  <si>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</si>
  <si>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</si>
  <si>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</si>
  <si>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</si>
  <si>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</si>
  <si>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</si>
  <si>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</si>
  <si>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</si>
  <si>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</si>
  <si>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</si>
  <si>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</si>
  <si>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</si>
  <si>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</si>
  <si>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</si>
  <si>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</si>
  <si>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</si>
  <si>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</si>
  <si>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</si>
  <si>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</si>
  <si>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</si>
  <si>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</si>
  <si>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</si>
  <si>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</si>
  <si>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</si>
  <si>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</si>
  <si>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</si>
  <si>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</si>
  <si>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</si>
  <si>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</si>
  <si>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</si>
  <si>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</si>
  <si>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</si>
  <si>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</si>
  <si>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</si>
  <si>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</si>
  <si>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</si>
  <si>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</si>
  <si>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</si>
  <si>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</si>
  <si>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</si>
  <si>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</si>
  <si>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</si>
  <si>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</si>
  <si>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</si>
  <si>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</si>
  <si>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</si>
  <si>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</si>
  <si>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</si>
  <si>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</si>
  <si>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>Monitoreringsprogram for indvinding</t>
  </si>
  <si>
    <t>Ingen engangstillæg</t>
  </si>
  <si>
    <t>Økonomisk ramme for 2024</t>
  </si>
  <si>
    <t>Beluftningsanlæg, bundbeluftbning, Kontruktioner</t>
  </si>
  <si>
    <t>50</t>
  </si>
  <si>
    <t>Beluftningsanlæg, bundbeluftbning, Mek./EL</t>
  </si>
  <si>
    <t>25</t>
  </si>
  <si>
    <t>SRO-anlæg, vandværk</t>
  </si>
  <si>
    <t>10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</si>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</sst>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2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2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2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9" t="s">
        <v>35</v>
      </c>
      <c r="C9" s="11" t="s">
        <v>171</v>
      </c>
      <c r="D9" s="11"/>
      <c r="E9" s="1"/>
      <c r="F9" s="1"/>
    </row>
    <row r="10" spans="1:6" x14ac:dyDescent="0.25">
      <c r="A10" s="1"/>
      <c r="B10" s="52" t="s">
        <v>234</v>
      </c>
      <c r="C10" s="9">
        <v>173029</v>
      </c>
      <c r="D10" s="14" t="s">
        <v>3</v>
      </c>
      <c r="E10" s="1"/>
      <c r="F10" s="1"/>
    </row>
    <row r="11" spans="1:6" x14ac:dyDescent="0.25">
      <c r="A11" s="1"/>
      <c r="B11" s="52" t="s">
        <v>235</v>
      </c>
      <c r="C11" s="9">
        <v>252430</v>
      </c>
      <c r="D11" s="14" t="s">
        <v>3</v>
      </c>
      <c r="E11" s="1"/>
      <c r="F11" s="1"/>
    </row>
    <row r="12" spans="1:6" x14ac:dyDescent="0.25">
      <c r="A12" s="1"/>
      <c r="B12" s="52" t="s">
        <v>236</v>
      </c>
      <c r="C12" s="9">
        <v>933710</v>
      </c>
      <c r="D12" s="14" t="s">
        <v>3</v>
      </c>
      <c r="E12" s="1"/>
      <c r="F12" s="1"/>
    </row>
    <row r="13" spans="1:6" x14ac:dyDescent="0.25">
      <c r="A13" s="1"/>
      <c r="B13" s="43" t="s">
        <v>169</v>
      </c>
      <c r="C13" s="12">
        <f>SUM(C10:C12)</f>
        <v>1359169</v>
      </c>
      <c r="D13" s="13" t="s">
        <v>3</v>
      </c>
      <c r="E13" s="1"/>
      <c r="F13" s="1"/>
    </row>
    <row r="14" spans="1:6" x14ac:dyDescent="0.25">
      <c r="A14" s="1"/>
      <c r="B14" s="43" t="s">
        <v>170</v>
      </c>
      <c r="C14" s="12">
        <f>C13*(1+'Fane 12. Nøgletal'!C13)^2</f>
        <v>1392535.0223139601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471638.57333333325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212447.76434836164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684086.33768169489</v>
      </c>
      <c r="F9" s="17" t="s">
        <v>3</v>
      </c>
      <c r="G9" s="1"/>
    </row>
    <row r="10" spans="1:7" ht="15" customHeight="1" x14ac:dyDescent="0.25">
      <c r="A10" s="1"/>
      <c r="B10" s="43"/>
      <c r="C10" s="44"/>
      <c r="D10" s="44"/>
      <c r="E10" s="44"/>
      <c r="F10" s="20"/>
      <c r="G10" s="1"/>
    </row>
    <row r="11" spans="1:7" ht="28.5" customHeight="1" x14ac:dyDescent="0.2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18102757.996765923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17770601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332156.99676592276</v>
      </c>
      <c r="F17" s="17" t="s">
        <v>3</v>
      </c>
      <c r="G17" s="1"/>
    </row>
    <row r="18" spans="1:7" x14ac:dyDescent="0.25">
      <c r="A18" s="1"/>
      <c r="B18" s="43"/>
      <c r="C18" s="44"/>
      <c r="D18" s="44"/>
      <c r="E18" s="44"/>
      <c r="F18" s="20"/>
      <c r="G18" s="1"/>
    </row>
    <row r="19" spans="1:7" ht="30" customHeight="1" x14ac:dyDescent="0.2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22174943.731168244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22724002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-549058.26883175597</v>
      </c>
      <c r="F25" s="17" t="s">
        <v>3</v>
      </c>
      <c r="G25" s="1"/>
    </row>
    <row r="26" spans="1:7" x14ac:dyDescent="0.25">
      <c r="A26" s="1"/>
      <c r="B26" s="43"/>
      <c r="C26" s="44"/>
      <c r="D26" s="44"/>
      <c r="E26" s="44"/>
      <c r="F26" s="20"/>
      <c r="G26" s="1"/>
    </row>
    <row r="27" spans="1:7" ht="28.5" customHeight="1" x14ac:dyDescent="0.2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21856489.773535024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22722451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-865961.22646497563</v>
      </c>
      <c r="F33" s="17" t="s">
        <v>3</v>
      </c>
      <c r="G33" s="1"/>
    </row>
    <row r="34" spans="1:7" x14ac:dyDescent="0.25">
      <c r="A34" s="1"/>
      <c r="B34" s="43"/>
      <c r="C34" s="44"/>
      <c r="D34" s="44"/>
      <c r="E34" s="44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248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249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-1082862.4985308088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-541431.24926540442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ht="39" x14ac:dyDescent="0.25">
      <c r="A10" s="1"/>
      <c r="B10" s="39" t="s">
        <v>242</v>
      </c>
      <c r="C10" s="40" t="s">
        <v>243</v>
      </c>
      <c r="D10" s="9">
        <v>3717971.53</v>
      </c>
      <c r="E10" s="9">
        <f>IFERROR(D10/C10,0)</f>
        <v>74359.430599999992</v>
      </c>
      <c r="F10" s="9">
        <v>0</v>
      </c>
      <c r="G10" s="9">
        <v>60602.94</v>
      </c>
      <c r="H10" s="14" t="s">
        <v>3</v>
      </c>
      <c r="I10" s="1"/>
    </row>
    <row r="11" spans="1:9" ht="26.25" x14ac:dyDescent="0.25">
      <c r="A11" s="1"/>
      <c r="B11" s="39" t="s">
        <v>244</v>
      </c>
      <c r="C11" s="40" t="s">
        <v>245</v>
      </c>
      <c r="D11" s="9">
        <v>14500088.98</v>
      </c>
      <c r="E11" s="9">
        <f t="shared" ref="E11:E12" si="0">IFERROR(D11/C11,0)</f>
        <v>580003.55920000002</v>
      </c>
      <c r="F11" s="9">
        <v>0</v>
      </c>
      <c r="G11" s="9">
        <v>236351.45</v>
      </c>
      <c r="H11" s="14" t="s">
        <v>3</v>
      </c>
      <c r="I11" s="1"/>
    </row>
    <row r="12" spans="1:9" x14ac:dyDescent="0.25">
      <c r="A12" s="1"/>
      <c r="B12" s="39" t="s">
        <v>246</v>
      </c>
      <c r="C12" s="40" t="s">
        <v>247</v>
      </c>
      <c r="D12" s="9">
        <v>371826.99</v>
      </c>
      <c r="E12" s="9">
        <f t="shared" si="0"/>
        <v>37182.699000000001</v>
      </c>
      <c r="F12" s="9">
        <v>0</v>
      </c>
      <c r="G12" s="9">
        <v>6060.78</v>
      </c>
      <c r="H12" s="14" t="s">
        <v>3</v>
      </c>
      <c r="I12" s="1"/>
    </row>
    <row r="13" spans="1:9" ht="26.25" x14ac:dyDescent="0.25">
      <c r="A13" s="1"/>
      <c r="B13" s="39" t="s">
        <v>244</v>
      </c>
      <c r="C13" s="40" t="s">
        <v>245</v>
      </c>
      <c r="D13" s="9">
        <v>3484271.13</v>
      </c>
      <c r="E13" s="9">
        <f t="shared" ref="E13:E14" si="1">IFERROR(D13/C13,0)</f>
        <v>139370.84519999998</v>
      </c>
      <c r="F13" s="9">
        <v>0</v>
      </c>
      <c r="G13" s="9">
        <v>56793.62</v>
      </c>
      <c r="H13" s="14" t="s">
        <v>3</v>
      </c>
      <c r="I13" s="1"/>
    </row>
    <row r="14" spans="1:9" x14ac:dyDescent="0.25">
      <c r="A14" s="1"/>
      <c r="B14" s="39" t="s">
        <v>246</v>
      </c>
      <c r="C14" s="40" t="s">
        <v>247</v>
      </c>
      <c r="D14" s="9">
        <v>183397.41</v>
      </c>
      <c r="E14" s="9">
        <f t="shared" si="1"/>
        <v>18339.741000000002</v>
      </c>
      <c r="F14" s="9">
        <v>0</v>
      </c>
      <c r="G14" s="9">
        <v>2989.38</v>
      </c>
      <c r="H14" s="14" t="s">
        <v>3</v>
      </c>
      <c r="I14" s="1"/>
    </row>
    <row r="15" spans="1:9" x14ac:dyDescent="0.25">
      <c r="A15" s="1"/>
      <c r="B15" s="96" t="s">
        <v>198</v>
      </c>
      <c r="C15" s="97"/>
      <c r="D15" s="98"/>
      <c r="E15" s="12">
        <f>SUM(E10:E14)</f>
        <v>849256.27500000002</v>
      </c>
      <c r="F15" s="12">
        <f t="shared" ref="F15:G15" si="2">SUM(F10:F14)</f>
        <v>0</v>
      </c>
      <c r="G15" s="12">
        <f t="shared" si="2"/>
        <v>362798.17000000004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94</v>
      </c>
      <c r="C8" s="44"/>
      <c r="D8" s="44"/>
      <c r="E8" s="44"/>
      <c r="F8" s="20"/>
      <c r="G8" s="1"/>
    </row>
    <row r="9" spans="1:7" ht="17.25" customHeight="1" x14ac:dyDescent="0.25">
      <c r="A9" s="1"/>
      <c r="B9" s="50" t="s">
        <v>16</v>
      </c>
      <c r="C9" s="50" t="s">
        <v>11</v>
      </c>
      <c r="D9" s="51"/>
      <c r="E9" s="50" t="s">
        <v>34</v>
      </c>
      <c r="F9" s="46"/>
      <c r="G9" s="1"/>
    </row>
    <row r="10" spans="1:7" x14ac:dyDescent="0.25">
      <c r="A10" s="1"/>
      <c r="B10" s="25" t="s">
        <v>44</v>
      </c>
      <c r="C10" s="22">
        <f>'Fane 8. Anlægsprojekter'!F15</f>
        <v>0</v>
      </c>
      <c r="D10" s="14" t="s">
        <v>3</v>
      </c>
      <c r="E10" s="9">
        <f>SUM('Fane 8. Anlægsprojekter'!E15,'Fane 8. Anlægsprojekter'!G15)</f>
        <v>1212054.4450000001</v>
      </c>
      <c r="F10" s="14" t="s">
        <v>3</v>
      </c>
      <c r="G10" s="1"/>
    </row>
    <row r="11" spans="1:7" x14ac:dyDescent="0.25">
      <c r="A11" s="1"/>
      <c r="B11" s="41" t="s">
        <v>239</v>
      </c>
      <c r="C11" s="22">
        <v>194403</v>
      </c>
      <c r="D11" s="14" t="s">
        <v>3</v>
      </c>
      <c r="E11" s="9">
        <v>69218</v>
      </c>
      <c r="F11" s="14" t="s">
        <v>3</v>
      </c>
      <c r="G11" s="1"/>
    </row>
    <row r="12" spans="1:7" x14ac:dyDescent="0.25">
      <c r="A12" s="1"/>
      <c r="B12" s="43" t="s">
        <v>48</v>
      </c>
      <c r="C12" s="12">
        <f>SUM(C10:C11)</f>
        <v>194403</v>
      </c>
      <c r="D12" s="13" t="s">
        <v>3</v>
      </c>
      <c r="E12" s="12">
        <f>SUM(E10:E11)</f>
        <v>1281272.4450000001</v>
      </c>
      <c r="F12" s="13" t="s">
        <v>3</v>
      </c>
      <c r="G12" s="1"/>
    </row>
    <row r="13" spans="1:7" x14ac:dyDescent="0.25">
      <c r="A13" s="1"/>
      <c r="B13" s="43" t="s">
        <v>173</v>
      </c>
      <c r="C13" s="12">
        <f>C12*(1+'Fane 12. Nøgletal'!C13)</f>
        <v>196774.71659999999</v>
      </c>
      <c r="D13" s="13" t="s">
        <v>3</v>
      </c>
      <c r="E13" s="12">
        <f>E12*(1+'Fane 12. Nøgletal'!C13)</f>
        <v>1296903.9688290001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50" t="s">
        <v>16</v>
      </c>
      <c r="C9" s="50" t="s">
        <v>11</v>
      </c>
      <c r="D9" s="51"/>
      <c r="E9" s="50" t="s">
        <v>34</v>
      </c>
      <c r="F9" s="46"/>
      <c r="G9" s="1"/>
    </row>
    <row r="10" spans="1:7" x14ac:dyDescent="0.2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3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50" t="s">
        <v>16</v>
      </c>
      <c r="C17" s="50" t="s">
        <v>11</v>
      </c>
      <c r="D17" s="51"/>
      <c r="E17" s="50" t="s">
        <v>34</v>
      </c>
      <c r="F17" s="46"/>
      <c r="G17" s="1"/>
    </row>
    <row r="18" spans="1:7" x14ac:dyDescent="0.2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3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50" t="s">
        <v>16</v>
      </c>
      <c r="C25" s="50" t="s">
        <v>11</v>
      </c>
      <c r="D25" s="51"/>
      <c r="E25" s="50" t="s">
        <v>34</v>
      </c>
      <c r="F25" s="46"/>
      <c r="G25" s="1"/>
    </row>
    <row r="26" spans="1:7" x14ac:dyDescent="0.2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3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50" t="s">
        <v>16</v>
      </c>
      <c r="C33" s="50" t="s">
        <v>11</v>
      </c>
      <c r="D33" s="51"/>
      <c r="E33" s="50" t="s">
        <v>34</v>
      </c>
      <c r="F33" s="46"/>
      <c r="G33" s="1"/>
    </row>
    <row r="34" spans="1:7" x14ac:dyDescent="0.2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3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a5oT9BP0sXW9bXN3mSiTLhVZXIiOuzqE0cZCNGjtmYgmqn108VJvcSD+RZO5ia5YPC3s9gDb4dcZkleb074pA==" saltValue="S5j93BMkobO+vk38s7c3y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5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2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2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3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3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2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3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3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2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3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3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211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3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3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3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18826042.368821993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196774.71659999999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1296903.9688290001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247900.59686186214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-60767.522968965757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-274323.33806611371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-192998.92291745197</v>
      </c>
      <c r="D19" s="8" t="s">
        <v>3</v>
      </c>
      <c r="E19" s="1"/>
    </row>
    <row r="20" spans="1:5" ht="17.100000000000001" customHeight="1" x14ac:dyDescent="0.25">
      <c r="A20" s="1"/>
      <c r="B20" s="53" t="s">
        <v>20</v>
      </c>
      <c r="C20" s="10">
        <f>SUM(C9:C19)</f>
        <v>20039531.867160324</v>
      </c>
      <c r="D20" s="11" t="s">
        <v>3</v>
      </c>
      <c r="E20" s="1"/>
    </row>
    <row r="21" spans="1:5" ht="15" customHeight="1" x14ac:dyDescent="0.25">
      <c r="A21" s="1"/>
      <c r="B21" s="43" t="s">
        <v>12</v>
      </c>
      <c r="C21" s="44"/>
      <c r="D21" s="20"/>
      <c r="E21" s="1"/>
    </row>
    <row r="22" spans="1:5" ht="15" customHeight="1" x14ac:dyDescent="0.25">
      <c r="A22" s="1"/>
      <c r="B22" s="45" t="s">
        <v>12</v>
      </c>
      <c r="C22" s="10">
        <f>'Fane 6. Ikke-påvirkelige omk.'!C14</f>
        <v>1392535.0223139601</v>
      </c>
      <c r="D22" s="11" t="s">
        <v>3</v>
      </c>
      <c r="E22" s="1"/>
    </row>
    <row r="23" spans="1:5" ht="15" customHeight="1" x14ac:dyDescent="0.25">
      <c r="A23" s="1"/>
      <c r="B23" s="43" t="s">
        <v>99</v>
      </c>
      <c r="C23" s="44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4"/>
      <c r="D27" s="20"/>
      <c r="E27" s="1"/>
    </row>
    <row r="28" spans="1:5" x14ac:dyDescent="0.25">
      <c r="A28" s="1"/>
      <c r="B28" s="54" t="s">
        <v>205</v>
      </c>
      <c r="C28" s="10">
        <f>'Fane 7. Kontrol af ØR2019'!E41</f>
        <v>-541431.24926540442</v>
      </c>
      <c r="D28" s="11" t="s">
        <v>3</v>
      </c>
      <c r="E28" s="1"/>
    </row>
    <row r="29" spans="1:5" x14ac:dyDescent="0.25">
      <c r="A29" s="1"/>
      <c r="B29" s="43" t="s">
        <v>31</v>
      </c>
      <c r="C29" s="32">
        <f>SUM(C20,C22,C26,C28)</f>
        <v>20890635.640208878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20039531.867160324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244482.28877935596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-59929.597939545827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-272116.68113470986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-189981.28825817615</v>
      </c>
      <c r="D15" s="8" t="s">
        <v>3</v>
      </c>
      <c r="E15" s="1"/>
    </row>
    <row r="16" spans="1:5" ht="15" customHeight="1" x14ac:dyDescent="0.25">
      <c r="A16" s="1"/>
      <c r="B16" s="49" t="s">
        <v>20</v>
      </c>
      <c r="C16" s="10">
        <f>SUM(C9:C15)</f>
        <v>19761986.588607248</v>
      </c>
      <c r="D16" s="11" t="s">
        <v>3</v>
      </c>
      <c r="E16" s="1"/>
    </row>
    <row r="17" spans="1:5" x14ac:dyDescent="0.25">
      <c r="A17" s="1"/>
      <c r="B17" s="43" t="s">
        <v>12</v>
      </c>
      <c r="C17" s="44"/>
      <c r="D17" s="20"/>
      <c r="E17" s="1"/>
    </row>
    <row r="18" spans="1:5" ht="15" customHeight="1" x14ac:dyDescent="0.25">
      <c r="A18" s="1"/>
      <c r="B18" s="45" t="s">
        <v>12</v>
      </c>
      <c r="C18" s="10">
        <f>'Fane 6. Ikke-påvirkelige omk.'!C14*(1+'Fane 12. Nøgletal'!C13)</f>
        <v>1409523.9495861905</v>
      </c>
      <c r="D18" s="11" t="s">
        <v>3</v>
      </c>
      <c r="E18" s="1"/>
    </row>
    <row r="19" spans="1:5" ht="15" customHeight="1" x14ac:dyDescent="0.25">
      <c r="A19" s="1"/>
      <c r="B19" s="43" t="s">
        <v>99</v>
      </c>
      <c r="C19" s="44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4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ØR2019'!E41</f>
        <v>-541431.24926540442</v>
      </c>
      <c r="D24" s="11" t="s">
        <v>3</v>
      </c>
      <c r="E24" s="1"/>
    </row>
    <row r="25" spans="1:5" x14ac:dyDescent="0.25">
      <c r="A25" s="1"/>
      <c r="B25" s="43" t="s">
        <v>32</v>
      </c>
      <c r="C25" s="12">
        <f>SUM(C16,C18,C22,C24)</f>
        <v>20630079.288928032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19761986.588607248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241096.23638100844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-59099.579700399103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-269927.77455166227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-187010.83582561542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19487044.63491058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omk.'!C14*(1+'Fane 12. Nøgletal'!C13)^2</f>
        <v>1426720.1417711419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3" t="s">
        <v>109</v>
      </c>
      <c r="C22" s="12">
        <f>SUM(C15,C17,C21)</f>
        <v>20913764.776681721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19487044.63491058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237741.94454590909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-58277.346883236525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-267756.4755331687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-184086.82790206402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19214665.92913802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omk.'!C14*(1+'Fane 12. Nøgletal'!C13)^3</f>
        <v>1444126.1275007499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3" t="s">
        <v>241</v>
      </c>
      <c r="C22" s="12">
        <f>SUM(C15,C17,C21)</f>
        <v>20658792.05663877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167</v>
      </c>
      <c r="C8" s="44"/>
      <c r="D8" s="44"/>
      <c r="E8" s="44"/>
      <c r="F8" s="20"/>
      <c r="G8" s="1"/>
    </row>
    <row r="9" spans="1:7" x14ac:dyDescent="0.25">
      <c r="A9" s="1"/>
      <c r="B9" s="93" t="s">
        <v>23</v>
      </c>
      <c r="C9" s="94"/>
      <c r="D9" s="95"/>
      <c r="E9" s="7">
        <v>18822637.288261976</v>
      </c>
      <c r="F9" s="8" t="s">
        <v>3</v>
      </c>
      <c r="G9" s="1"/>
    </row>
    <row r="10" spans="1:7" ht="15" customHeight="1" x14ac:dyDescent="0.2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25">
      <c r="A11" s="1"/>
      <c r="B11" s="78" t="s">
        <v>46</v>
      </c>
      <c r="C11" s="79"/>
      <c r="D11" s="80"/>
      <c r="E11" s="9">
        <v>7307.9451720000006</v>
      </c>
      <c r="F11" s="8" t="s">
        <v>3</v>
      </c>
      <c r="G11" s="1"/>
    </row>
    <row r="12" spans="1:7" x14ac:dyDescent="0.2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2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18</v>
      </c>
      <c r="C16" s="79"/>
      <c r="D16" s="80"/>
      <c r="E16" s="9">
        <f>E9*'Fane 12. Nøgletal'!C11+SUM(E10:E15)*'Fane 12. Nøgletal'!C12</f>
        <v>318246.53669151576</v>
      </c>
      <c r="F16" s="8" t="s">
        <v>3</v>
      </c>
      <c r="G16" s="1"/>
    </row>
    <row r="17" spans="1:7" x14ac:dyDescent="0.25">
      <c r="A17" s="1"/>
      <c r="B17" s="78" t="s">
        <v>9</v>
      </c>
      <c r="C17" s="79"/>
      <c r="D17" s="80"/>
      <c r="E17" s="9">
        <f>-SUM(E9:E16)*'Fane 5. Individuelt eff. krav'!G9</f>
        <v>0</v>
      </c>
      <c r="F17" s="8" t="s">
        <v>3</v>
      </c>
      <c r="G17" s="1"/>
    </row>
    <row r="18" spans="1:7" x14ac:dyDescent="0.25">
      <c r="A18" s="1"/>
      <c r="B18" s="78" t="s">
        <v>27</v>
      </c>
      <c r="C18" s="79"/>
      <c r="D18" s="80"/>
      <c r="E18" s="9">
        <f>-'Fane 4.1. Gen. krav - drift'!G25</f>
        <v>-272532.07874468557</v>
      </c>
      <c r="F18" s="8" t="s">
        <v>3</v>
      </c>
      <c r="G18" s="1"/>
    </row>
    <row r="19" spans="1:7" x14ac:dyDescent="0.25">
      <c r="A19" s="1"/>
      <c r="B19" s="78" t="s">
        <v>28</v>
      </c>
      <c r="C19" s="79"/>
      <c r="D19" s="80"/>
      <c r="E19" s="9">
        <f>-'Fane 4.2. Gen. krav - anlæg'!G25</f>
        <v>-49617.322558813212</v>
      </c>
      <c r="F19" s="8" t="s">
        <v>3</v>
      </c>
      <c r="G19" s="1"/>
    </row>
    <row r="20" spans="1:7" x14ac:dyDescent="0.25">
      <c r="A20" s="1"/>
      <c r="B20" s="81" t="s">
        <v>20</v>
      </c>
      <c r="C20" s="82"/>
      <c r="D20" s="83"/>
      <c r="E20" s="10">
        <f>SUM(E9:E19)</f>
        <v>18826042.368821993</v>
      </c>
      <c r="F20" s="11" t="s">
        <v>3</v>
      </c>
      <c r="G20" s="1"/>
    </row>
    <row r="21" spans="1:7" x14ac:dyDescent="0.25">
      <c r="A21" s="1"/>
      <c r="B21" s="90" t="s">
        <v>12</v>
      </c>
      <c r="C21" s="91"/>
      <c r="D21" s="91"/>
      <c r="E21" s="44"/>
      <c r="F21" s="20"/>
      <c r="G21" s="1"/>
    </row>
    <row r="22" spans="1:7" x14ac:dyDescent="0.25">
      <c r="A22" s="1"/>
      <c r="B22" s="84" t="s">
        <v>12</v>
      </c>
      <c r="C22" s="85"/>
      <c r="D22" s="86"/>
      <c r="E22" s="10">
        <v>1502806.7662650901</v>
      </c>
      <c r="F22" s="11" t="s">
        <v>3</v>
      </c>
      <c r="G22" s="1"/>
    </row>
    <row r="23" spans="1:7" ht="15" customHeight="1" x14ac:dyDescent="0.25">
      <c r="A23" s="1"/>
      <c r="B23" s="90" t="s">
        <v>99</v>
      </c>
      <c r="C23" s="91"/>
      <c r="D23" s="91"/>
      <c r="E23" s="44"/>
      <c r="F23" s="44"/>
      <c r="G23" s="1"/>
    </row>
    <row r="24" spans="1:7" ht="14.25" customHeight="1" x14ac:dyDescent="0.2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2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2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25">
      <c r="A27" s="1"/>
      <c r="B27" s="43" t="s">
        <v>228</v>
      </c>
      <c r="C27" s="44"/>
      <c r="D27" s="44"/>
      <c r="E27" s="44"/>
      <c r="F27" s="44"/>
      <c r="G27" s="1"/>
    </row>
    <row r="28" spans="1:7" ht="13.15" customHeight="1" x14ac:dyDescent="0.25">
      <c r="A28" s="1"/>
      <c r="B28" s="87" t="s">
        <v>229</v>
      </c>
      <c r="C28" s="88"/>
      <c r="D28" s="89"/>
      <c r="E28" s="10">
        <v>1076862</v>
      </c>
      <c r="F28" s="11" t="s">
        <v>3</v>
      </c>
      <c r="G28" s="1"/>
    </row>
    <row r="29" spans="1:7" x14ac:dyDescent="0.25">
      <c r="A29" s="1"/>
      <c r="B29" s="43" t="s">
        <v>230</v>
      </c>
      <c r="C29" s="44"/>
      <c r="D29" s="44"/>
      <c r="E29" s="44"/>
      <c r="F29" s="20"/>
      <c r="G29" s="1"/>
    </row>
    <row r="30" spans="1:7" ht="15" customHeight="1" x14ac:dyDescent="0.25">
      <c r="A30" s="1"/>
      <c r="B30" s="87" t="s">
        <v>231</v>
      </c>
      <c r="C30" s="88"/>
      <c r="D30" s="89"/>
      <c r="E30" s="10">
        <v>342043.16884084744</v>
      </c>
      <c r="F30" s="11" t="s">
        <v>3</v>
      </c>
      <c r="G30" s="1"/>
    </row>
    <row r="31" spans="1:7" x14ac:dyDescent="0.25">
      <c r="A31" s="1"/>
      <c r="B31" s="43" t="s">
        <v>232</v>
      </c>
      <c r="C31" s="44"/>
      <c r="D31" s="44"/>
      <c r="E31" s="44"/>
      <c r="F31" s="20"/>
      <c r="G31" s="1"/>
    </row>
    <row r="32" spans="1:7" x14ac:dyDescent="0.2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25">
      <c r="A33" s="1"/>
      <c r="B33" s="43" t="s">
        <v>24</v>
      </c>
      <c r="C33" s="44"/>
      <c r="D33" s="44"/>
      <c r="E33" s="12">
        <f>SUM(E30,E26,E28,E22,E20,E32)</f>
        <v>21747754.303927932</v>
      </c>
      <c r="F33" s="13" t="s">
        <v>3</v>
      </c>
      <c r="G33" s="1"/>
    </row>
    <row r="34" spans="1:7" ht="28.15" customHeight="1" x14ac:dyDescent="0.25">
      <c r="A34" s="1"/>
      <c r="B34" s="75" t="s">
        <v>179</v>
      </c>
      <c r="C34" s="76"/>
      <c r="D34" s="76"/>
      <c r="E34" s="76"/>
      <c r="F34" s="7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13825222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276504.44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13720786.273011999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274415.72546023998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13673614.209805382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-0.38825260448766313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273472.27643105556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13626603.937234279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272532.07874468557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13516991.535163166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199175.36814251999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274323.33806611371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13605834.056735493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272116.68113470986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13496388.727583112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269927.77455166227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13387823.776658434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267756.4755331687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5661132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51516.301200000002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5680857.8181747599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51695.806145390314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5724294.8500326648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-90846.100503005378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49011.004120908037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5678814.743306159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7451.911691888401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49617.322558813212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5705416.4542949935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1312726.1972487138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192998.92291745197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6908410.4821154959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189981.28825817615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6800394.030022379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187010.83582561542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6694066.4691659641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184086.82790206402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0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2.9545235710652915E-3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2020-10-29T12:23:51Z</dcterms:modified>
</cp:coreProperties>
</file>