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Bornholms Vand AS (V027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30" i="32" l="1"/>
  <c r="E12" i="32" l="1"/>
  <c r="E35" i="32" l="1"/>
  <c r="E26" i="32" l="1"/>
  <c r="E37" i="32" s="1"/>
  <c r="C23" i="23" l="1"/>
  <c r="C23" i="22"/>
  <c r="C23" i="15"/>
  <c r="C30" i="2"/>
  <c r="C16" i="19"/>
  <c r="C11" i="29" l="1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9" i="36" s="1"/>
  <c r="C32" i="21"/>
  <c r="C33" i="21" s="1"/>
  <c r="G55" i="30" s="1"/>
  <c r="E25" i="21"/>
  <c r="E26" i="21" s="1"/>
  <c r="G53" i="36" s="1"/>
  <c r="C25" i="21"/>
  <c r="C26" i="21" s="1"/>
  <c r="G49" i="30" s="1"/>
  <c r="E18" i="21"/>
  <c r="E19" i="21" s="1"/>
  <c r="G43" i="36" s="1"/>
  <c r="C18" i="21"/>
  <c r="C19" i="21" s="1"/>
  <c r="G43" i="30" s="1"/>
  <c r="C10" i="15" l="1"/>
  <c r="C9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0" i="15" s="1"/>
  <c r="C19" i="23"/>
  <c r="C19" i="22"/>
  <c r="C19" i="15"/>
  <c r="C26" i="2"/>
  <c r="C21" i="22" l="1"/>
  <c r="C21" i="23"/>
  <c r="C21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1" i="37" s="1"/>
  <c r="C12" i="37" s="1"/>
  <c r="C12" i="2" s="1"/>
  <c r="E11" i="21"/>
  <c r="E12" i="21" s="1"/>
  <c r="C11" i="21"/>
  <c r="C12" i="21" s="1"/>
  <c r="E11" i="29"/>
  <c r="E12" i="29" s="1"/>
  <c r="C17" i="19" l="1"/>
  <c r="C16" i="2"/>
  <c r="C17" i="2"/>
  <c r="C15" i="2"/>
  <c r="C14" i="2"/>
  <c r="C24" i="2" l="1"/>
  <c r="C17" i="22"/>
  <c r="C17" i="23"/>
  <c r="C17" i="15"/>
  <c r="G37" i="30"/>
  <c r="G38" i="30" s="1"/>
  <c r="E11" i="11"/>
  <c r="E10" i="37" l="1"/>
  <c r="E11" i="37" s="1"/>
  <c r="E12" i="37" s="1"/>
  <c r="C13" i="2" s="1"/>
  <c r="G37" i="36" s="1"/>
  <c r="G38" i="36" l="1"/>
  <c r="G42" i="36" s="1"/>
  <c r="G44" i="36" s="1"/>
  <c r="C20" i="2"/>
  <c r="G42" i="30" l="1"/>
  <c r="G44" i="30" s="1"/>
  <c r="C13" i="15" s="1"/>
  <c r="E20" i="27"/>
  <c r="E31" i="27" s="1"/>
  <c r="C9" i="2" l="1"/>
  <c r="C18" i="2" s="1"/>
  <c r="C19" i="2" s="1"/>
  <c r="G48" i="30"/>
  <c r="G50" i="30" s="1"/>
  <c r="C21" i="2"/>
  <c r="C14" i="15"/>
  <c r="C22" i="2" l="1"/>
  <c r="G54" i="30"/>
  <c r="G56" i="30" s="1"/>
  <c r="C13" i="23" s="1"/>
  <c r="C13" i="22"/>
  <c r="G52" i="36"/>
  <c r="G54" i="36" s="1"/>
  <c r="C14" i="22" s="1"/>
  <c r="G58" i="36" l="1"/>
  <c r="G60" i="36" s="1"/>
  <c r="C14" i="23" s="1"/>
  <c r="C8" i="15"/>
  <c r="C11" i="15" l="1"/>
  <c r="C12" i="15" s="1"/>
  <c r="C15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6" i="15" l="1"/>
</calcChain>
</file>

<file path=xl/sharedStrings.xml><?xml version="1.0" encoding="utf-8"?>
<sst xmlns="http://schemas.openxmlformats.org/spreadsheetml/2006/main" count="621" uniqueCount="255">
  <si>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</si>
  <si>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</si>
  <si>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</si>
  <si>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</si>
  <si>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</si>
  <si>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</si>
  <si>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</si>
  <si>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</si>
  <si>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</si>
  <si>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</si>
  <si>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</si>
  <si>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</si>
  <si>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</si>
  <si>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</si>
  <si>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</si>
  <si>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</si>
  <si>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</si>
  <si>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</si>
  <si>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</si>
  <si>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</si>
  <si>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</si>
  <si>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</si>
  <si>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</si>
  <si>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</si>
  <si>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</si>
  <si>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</si>
  <si>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</si>
  <si>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</si>
  <si>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</si>
  <si>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</si>
  <si>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</si>
  <si>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</si>
  <si>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</si>
  <si>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</si>
  <si>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</si>
  <si>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</si>
  <si>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</si>
  <si>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</si>
  <si>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</si>
  <si>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</si>
  <si>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</si>
  <si>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</si>
  <si>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</si>
  <si>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</si>
  <si>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</si>
  <si>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</si>
  <si>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</si>
  <si>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</si>
  <si>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</si>
  <si>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</si>
  <si>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</si>
  <si>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</si>
  <si>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</si>
  <si>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</si>
  <si>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</si>
  <si>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</si>
  <si>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</si>
  <si>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</si>
  <si>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</si>
  <si>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</si>
  <si>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</si>
  <si>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</si>
  <si>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</si>
  <si>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</si>
  <si>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</si>
  <si>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</si>
  <si>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</si>
  <si>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</si>
  <si>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</si>
  <si>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</si>
  <si>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</si>
  <si>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</si>
  <si>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</si>
  <si>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</si>
  <si>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</si>
  <si>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</si>
  <si>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</si>
  <si>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</si>
  <si>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</si>
  <si>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</si>
  <si>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</si>
  <si>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</si>
  <si>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</si>
  <si>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</si>
  <si>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</si>
  <si>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</si>
  <si>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</si>
  <si>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</si>
  <si>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</si>
  <si>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</si>
  <si>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</si>
  <si>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</si>
  <si>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</si>
  <si>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</si>
  <si>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</si>
  <si>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</si>
  <si>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</si>
  <si>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</si>
  <si>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</si>
  <si>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</si>
  <si>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</si>
  <si>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</si>
  <si>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</si>
  <si>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</si>
  <si>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</si>
  <si>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</si>
  <si>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</si>
  <si>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</si>
  <si>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</si>
  <si>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</si>
  <si>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</si>
  <si>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</si>
  <si>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</si>
  <si>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</si>
  <si>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</si>
  <si>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</si>
  <si>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</si>
  <si>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</si>
  <si>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</si>
  <si>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</si>
  <si>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</si>
  <si>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</si>
  <si>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</si>
  <si>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</si>
  <si>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</si>
  <si>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</si>
  <si>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</si>
  <si>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</si>
  <si>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</si>
  <si>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</si>
  <si>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</si>
  <si>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</si>
  <si>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</si>
  <si>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</si>
  <si>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</si>
  <si>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</si>
  <si>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</si>
  <si>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</si>
  <si>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</si>
  <si>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</si>
  <si>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</si>
  <si>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</si>
  <si>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</si>
  <si>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</si>
  <si>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</si>
  <si>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</si>
  <si>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</si>
  <si>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</si>
  <si>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</si>
  <si>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</si>
  <si>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</si>
  <si>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</si>
  <si>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</si>
  <si>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</si>
  <si>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</si>
  <si>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</si>
  <si>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</si>
  <si>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</si>
  <si>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</si>
  <si>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</si>
  <si>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</si>
  <si>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</si>
  <si>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</si>
  <si>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</si>
  <si>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</si>
  <si>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</si>
  <si>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</si>
  <si>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</si>
  <si>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</si>
  <si>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</si>
  <si>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</si>
  <si>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</si>
  <si>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</si>
  <si>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</si>
  <si>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</si>
  <si>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</si>
  <si>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</si>
  <si>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</si>
  <si>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</si>
  <si>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</si>
  <si>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</si>
  <si>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</si>
  <si>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</si>
  <si>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</si>
  <si>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</si>
  <si>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</si>
  <si>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</si>
  <si>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</si>
  <si>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</si>
  <si>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</si>
  <si>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</si>
  <si>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</si>
  <si>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</si>
  <si>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</si>
  <si>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</si>
  <si>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</si>
  <si>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</si>
  <si>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</si>
  <si>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</si>
  <si>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</si>
  <si>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</si>
  <si>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</si>
  <si>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</si>
  <si>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</si>
  <si>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</si>
  <si>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</si>
  <si>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</si>
  <si>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</si>
  <si>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</si>
  <si>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</si>
  <si>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</si>
  <si>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</si>
  <si>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</si>
  <si>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</si>
  <si>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</si>
  <si>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</si>
  <si>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</si>
  <si>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</si>
  <si>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</si>
  <si>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</si>
  <si>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</si>
  <si>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</si>
  <si>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</si>
  <si>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</si>
  <si>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</si>
  <si>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</si>
  <si>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</si>
  <si>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</si>
  <si>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</si>
  <si>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</si>
  <si>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</si>
  <si>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</si>
  <si>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Erstatninger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</si>
  <si>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</si>
  <si>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</si>
  <si>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</si>
  <si>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</si>
  <si>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</si>
  <si>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</si>
  <si>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</si>
  <si>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</si>
  <si>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</si>
  <si>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</si>
  <si>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</si>
  <si>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</si>
  <si>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</si>
  <si>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</si>
  <si>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</si>
  <si>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</si>
  <si>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</si>
  <si>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</si>
  <si>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</si>
  <si>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</si>
  <si>
    <t>Ingen engangstillæg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</si>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</sst>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83" t="s">
        <v>4</v>
      </c>
      <c r="E6" s="83"/>
      <c r="F6" s="83"/>
      <c r="G6" s="83"/>
      <c r="H6" s="3"/>
      <c r="I6" s="1"/>
    </row>
    <row r="7" spans="1:9" ht="15" customHeight="1" x14ac:dyDescent="0.45">
      <c r="A7" s="1"/>
      <c r="B7" s="1"/>
      <c r="C7" s="3"/>
      <c r="D7" s="83"/>
      <c r="E7" s="83"/>
      <c r="F7" s="83"/>
      <c r="G7" s="83"/>
      <c r="H7" s="3"/>
      <c r="I7" s="1"/>
    </row>
    <row r="8" spans="1:9" ht="15.75" x14ac:dyDescent="0.5">
      <c r="A8" s="1"/>
      <c r="B8" s="1"/>
      <c r="C8" s="4"/>
      <c r="D8" s="85" t="s">
        <v>254</v>
      </c>
      <c r="E8" s="85"/>
      <c r="F8" s="85"/>
      <c r="G8" s="85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80" t="s">
        <v>163</v>
      </c>
      <c r="E13" s="81"/>
      <c r="F13" s="81"/>
      <c r="G13" s="82"/>
      <c r="H13" s="1"/>
      <c r="I13" s="1"/>
    </row>
    <row r="14" spans="1:9" x14ac:dyDescent="0.45">
      <c r="A14" s="1"/>
      <c r="B14" s="1"/>
      <c r="C14" s="6" t="s">
        <v>15</v>
      </c>
      <c r="D14" s="80" t="s">
        <v>83</v>
      </c>
      <c r="E14" s="81"/>
      <c r="F14" s="81"/>
      <c r="G14" s="82"/>
      <c r="H14" s="1"/>
      <c r="I14" s="1"/>
    </row>
    <row r="15" spans="1:9" x14ac:dyDescent="0.45">
      <c r="A15" s="1"/>
      <c r="B15" s="1"/>
      <c r="C15" s="6" t="s">
        <v>35</v>
      </c>
      <c r="D15" s="80" t="s">
        <v>128</v>
      </c>
      <c r="E15" s="81"/>
      <c r="F15" s="81"/>
      <c r="G15" s="82"/>
      <c r="H15" s="1"/>
      <c r="I15" s="1"/>
    </row>
    <row r="16" spans="1:9" x14ac:dyDescent="0.45">
      <c r="A16" s="1"/>
      <c r="B16" s="1"/>
      <c r="C16" s="6" t="s">
        <v>36</v>
      </c>
      <c r="D16" s="80" t="s">
        <v>180</v>
      </c>
      <c r="E16" s="81"/>
      <c r="F16" s="81"/>
      <c r="G16" s="82"/>
      <c r="H16" s="1"/>
      <c r="I16" s="1"/>
    </row>
    <row r="17" spans="1:9" x14ac:dyDescent="0.45">
      <c r="A17" s="1"/>
      <c r="B17" s="1"/>
      <c r="C17" s="6" t="s">
        <v>127</v>
      </c>
      <c r="D17" s="80" t="s">
        <v>181</v>
      </c>
      <c r="E17" s="81"/>
      <c r="F17" s="81"/>
      <c r="G17" s="82"/>
      <c r="H17" s="1"/>
      <c r="I17" s="1"/>
    </row>
    <row r="18" spans="1:9" x14ac:dyDescent="0.45">
      <c r="A18" s="1"/>
      <c r="B18" s="1"/>
      <c r="C18" s="32" t="s">
        <v>111</v>
      </c>
      <c r="D18" s="86" t="s">
        <v>100</v>
      </c>
      <c r="E18" s="87"/>
      <c r="F18" s="87"/>
      <c r="G18" s="88"/>
      <c r="H18" s="1"/>
      <c r="I18" s="1"/>
    </row>
    <row r="19" spans="1:9" x14ac:dyDescent="0.45">
      <c r="A19" s="1"/>
      <c r="B19" s="1"/>
      <c r="C19" s="32" t="s">
        <v>112</v>
      </c>
      <c r="D19" s="86" t="s">
        <v>101</v>
      </c>
      <c r="E19" s="87"/>
      <c r="F19" s="87"/>
      <c r="G19" s="88"/>
      <c r="H19" s="1"/>
      <c r="I19" s="1"/>
    </row>
    <row r="20" spans="1:9" x14ac:dyDescent="0.45">
      <c r="A20" s="1"/>
      <c r="B20" s="1"/>
      <c r="C20" s="32" t="s">
        <v>7</v>
      </c>
      <c r="D20" s="86" t="s">
        <v>9</v>
      </c>
      <c r="E20" s="87"/>
      <c r="F20" s="87"/>
      <c r="G20" s="88"/>
      <c r="H20" s="1"/>
      <c r="I20" s="1"/>
    </row>
    <row r="21" spans="1:9" x14ac:dyDescent="0.45">
      <c r="A21" s="1"/>
      <c r="B21" s="1"/>
      <c r="C21" s="6" t="s">
        <v>113</v>
      </c>
      <c r="D21" s="77" t="s">
        <v>12</v>
      </c>
      <c r="E21" s="78"/>
      <c r="F21" s="78"/>
      <c r="G21" s="79"/>
      <c r="H21" s="1"/>
      <c r="I21" s="1"/>
    </row>
    <row r="22" spans="1:9" x14ac:dyDescent="0.45">
      <c r="A22" s="1"/>
      <c r="B22" s="1"/>
      <c r="C22" s="6" t="s">
        <v>87</v>
      </c>
      <c r="D22" s="71" t="s">
        <v>182</v>
      </c>
      <c r="E22" s="72"/>
      <c r="F22" s="72"/>
      <c r="G22" s="73"/>
      <c r="H22" s="1"/>
      <c r="I22" s="1"/>
    </row>
    <row r="23" spans="1:9" x14ac:dyDescent="0.45">
      <c r="A23" s="1"/>
      <c r="B23" s="1"/>
      <c r="C23" s="6" t="s">
        <v>8</v>
      </c>
      <c r="D23" s="71" t="s">
        <v>37</v>
      </c>
      <c r="E23" s="72"/>
      <c r="F23" s="72"/>
      <c r="G23" s="73"/>
      <c r="H23" s="1"/>
      <c r="I23" s="1"/>
    </row>
    <row r="24" spans="1:9" x14ac:dyDescent="0.45">
      <c r="A24" s="1"/>
      <c r="B24" s="1"/>
      <c r="C24" s="6" t="s">
        <v>170</v>
      </c>
      <c r="D24" s="71" t="s">
        <v>88</v>
      </c>
      <c r="E24" s="72"/>
      <c r="F24" s="72"/>
      <c r="G24" s="73"/>
      <c r="H24" s="1"/>
      <c r="I24" s="1"/>
    </row>
    <row r="25" spans="1:9" x14ac:dyDescent="0.45">
      <c r="A25" s="1"/>
      <c r="B25" s="1"/>
      <c r="C25" s="6" t="s">
        <v>171</v>
      </c>
      <c r="D25" s="71" t="s">
        <v>89</v>
      </c>
      <c r="E25" s="72"/>
      <c r="F25" s="72"/>
      <c r="G25" s="73"/>
      <c r="H25" s="1"/>
      <c r="I25" s="1"/>
    </row>
    <row r="26" spans="1:9" x14ac:dyDescent="0.45">
      <c r="A26" s="1"/>
      <c r="B26" s="1"/>
      <c r="C26" s="6" t="s">
        <v>172</v>
      </c>
      <c r="D26" s="71" t="s">
        <v>129</v>
      </c>
      <c r="E26" s="72"/>
      <c r="F26" s="72"/>
      <c r="G26" s="73"/>
      <c r="H26" s="1"/>
      <c r="I26" s="1"/>
    </row>
    <row r="27" spans="1:9" x14ac:dyDescent="0.45">
      <c r="A27" s="1"/>
      <c r="B27" s="1"/>
      <c r="C27" s="6" t="s">
        <v>114</v>
      </c>
      <c r="D27" s="71" t="s">
        <v>38</v>
      </c>
      <c r="E27" s="72"/>
      <c r="F27" s="72"/>
      <c r="G27" s="73"/>
      <c r="H27" s="1"/>
      <c r="I27" s="1"/>
    </row>
    <row r="28" spans="1:9" x14ac:dyDescent="0.45">
      <c r="A28" s="1"/>
      <c r="B28" s="1"/>
      <c r="C28" s="6" t="s">
        <v>108</v>
      </c>
      <c r="D28" s="74" t="s">
        <v>109</v>
      </c>
      <c r="E28" s="75"/>
      <c r="F28" s="75"/>
      <c r="G28" s="76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/6nlMZkEtv4lbKpjRDQG1ZPK7gUmzW73L2O6duHBzT3H0b6MN+s/Cf5VgQGZpeSTGc5y5lZXINU+wCU0Fx+83A==" saltValue="B+gyGqnFMH3VUG/dChw0zg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9" t="s">
        <v>117</v>
      </c>
      <c r="C3" s="89"/>
      <c r="D3" s="89"/>
      <c r="E3" s="1"/>
      <c r="F3" s="1"/>
    </row>
    <row r="4" spans="1:6" ht="15" customHeight="1" x14ac:dyDescent="0.45">
      <c r="A4" s="1"/>
      <c r="B4" s="89"/>
      <c r="C4" s="89"/>
      <c r="D4" s="89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12" t="s">
        <v>202</v>
      </c>
      <c r="C8" s="113"/>
      <c r="D8" s="114"/>
      <c r="E8" s="1"/>
      <c r="F8" s="1"/>
    </row>
    <row r="9" spans="1:6" ht="15" customHeight="1" x14ac:dyDescent="0.45">
      <c r="A9" s="1"/>
      <c r="B9" s="48" t="s">
        <v>33</v>
      </c>
      <c r="C9" s="11" t="s">
        <v>203</v>
      </c>
      <c r="D9" s="11"/>
      <c r="E9" s="1"/>
      <c r="F9" s="1"/>
    </row>
    <row r="10" spans="1:6" ht="15" customHeight="1" x14ac:dyDescent="0.45">
      <c r="A10" s="1"/>
      <c r="B10" s="63" t="s">
        <v>227</v>
      </c>
      <c r="C10" s="9">
        <v>7747260.8799999999</v>
      </c>
      <c r="D10" s="14" t="s">
        <v>3</v>
      </c>
      <c r="E10" s="1"/>
      <c r="F10" s="1"/>
    </row>
    <row r="11" spans="1:6" ht="15" customHeight="1" x14ac:dyDescent="0.45">
      <c r="A11" s="1"/>
      <c r="B11" s="63" t="s">
        <v>228</v>
      </c>
      <c r="C11" s="9">
        <v>63265</v>
      </c>
      <c r="D11" s="14" t="s">
        <v>3</v>
      </c>
      <c r="E11" s="1"/>
      <c r="F11" s="1"/>
    </row>
    <row r="12" spans="1:6" ht="15" customHeight="1" x14ac:dyDescent="0.45">
      <c r="A12" s="1"/>
      <c r="B12" s="63" t="s">
        <v>229</v>
      </c>
      <c r="C12" s="9">
        <v>76049.91</v>
      </c>
      <c r="D12" s="14" t="s">
        <v>3</v>
      </c>
      <c r="E12" s="1"/>
      <c r="F12" s="1"/>
    </row>
    <row r="13" spans="1:6" x14ac:dyDescent="0.45">
      <c r="A13" s="1"/>
      <c r="B13" s="63" t="s">
        <v>230</v>
      </c>
      <c r="C13" s="9">
        <v>11747.9</v>
      </c>
      <c r="D13" s="14" t="s">
        <v>3</v>
      </c>
      <c r="E13" s="1"/>
      <c r="F13" s="1"/>
    </row>
    <row r="14" spans="1:6" x14ac:dyDescent="0.45">
      <c r="A14" s="1"/>
      <c r="B14" s="63" t="s">
        <v>231</v>
      </c>
      <c r="C14" s="9">
        <v>16229.71</v>
      </c>
      <c r="D14" s="14" t="s">
        <v>3</v>
      </c>
      <c r="E14" s="1"/>
      <c r="F14" s="1"/>
    </row>
    <row r="15" spans="1:6" x14ac:dyDescent="0.45">
      <c r="A15" s="1"/>
      <c r="B15" s="63" t="s">
        <v>232</v>
      </c>
      <c r="C15" s="9">
        <v>15223.76</v>
      </c>
      <c r="D15" s="14" t="s">
        <v>3</v>
      </c>
      <c r="E15" s="1"/>
      <c r="F15" s="1"/>
    </row>
    <row r="16" spans="1:6" x14ac:dyDescent="0.45">
      <c r="A16" s="1"/>
      <c r="B16" s="51" t="s">
        <v>204</v>
      </c>
      <c r="C16" s="12">
        <f>SUM(C10:C15)</f>
        <v>7929777.1600000001</v>
      </c>
      <c r="D16" s="13" t="s">
        <v>3</v>
      </c>
      <c r="E16" s="1"/>
      <c r="F16" s="1"/>
    </row>
    <row r="17" spans="1:6" x14ac:dyDescent="0.45">
      <c r="A17" s="1"/>
      <c r="B17" s="51" t="s">
        <v>205</v>
      </c>
      <c r="C17" s="12">
        <f>C16*(1+'Fane 12. Nøgletal'!C14)^2</f>
        <v>7982200.0445292741</v>
      </c>
      <c r="D17" s="13" t="s">
        <v>3</v>
      </c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6"/>
      <c r="C19" s="15"/>
      <c r="D19" s="15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  <row r="53" spans="1:6" x14ac:dyDescent="0.45">
      <c r="A53" s="1"/>
      <c r="B53" s="1"/>
      <c r="C53" s="1"/>
      <c r="D53" s="1"/>
      <c r="E53" s="1"/>
      <c r="F53" s="1"/>
    </row>
  </sheetData>
  <sheetProtection algorithmName="SHA-512" hashValue="s7YbQ5AAoJKzJ70afagDJYvmZNi7clocPGjC0/aj03EGH9uSHPJWr4gTCxXU6bj5DJ0SnRRbE1a7V09Nv2vVvQ==" saltValue="X830E/0hcLyrSlKBchmcD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7" t="s">
        <v>220</v>
      </c>
      <c r="C3" s="97"/>
      <c r="D3" s="97"/>
      <c r="E3" s="97"/>
      <c r="F3" s="97"/>
      <c r="G3" s="1"/>
    </row>
    <row r="4" spans="1:7" ht="15" customHeight="1" x14ac:dyDescent="0.45">
      <c r="A4" s="1"/>
      <c r="B4" s="97"/>
      <c r="C4" s="97"/>
      <c r="D4" s="97"/>
      <c r="E4" s="97"/>
      <c r="F4" s="97"/>
      <c r="G4" s="1"/>
    </row>
    <row r="5" spans="1:7" ht="15" customHeight="1" x14ac:dyDescent="0.45">
      <c r="A5" s="1"/>
      <c r="B5" s="55"/>
      <c r="C5" s="55"/>
      <c r="D5" s="55"/>
      <c r="E5" s="55"/>
      <c r="F5" s="55"/>
      <c r="G5" s="1"/>
    </row>
    <row r="6" spans="1:7" ht="15" customHeight="1" x14ac:dyDescent="0.45">
      <c r="A6" s="1"/>
      <c r="B6" s="55"/>
      <c r="C6" s="55"/>
      <c r="D6" s="55"/>
      <c r="E6" s="55"/>
      <c r="F6" s="55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2" t="s">
        <v>234</v>
      </c>
      <c r="C8" s="113"/>
      <c r="D8" s="113"/>
      <c r="E8" s="113"/>
      <c r="F8" s="114"/>
      <c r="G8" s="1"/>
    </row>
    <row r="9" spans="1:7" x14ac:dyDescent="0.45">
      <c r="A9" s="1"/>
      <c r="B9" s="115" t="s">
        <v>235</v>
      </c>
      <c r="C9" s="116"/>
      <c r="D9" s="117"/>
      <c r="E9" s="9">
        <v>3331652.5979442075</v>
      </c>
      <c r="F9" s="14" t="s">
        <v>3</v>
      </c>
      <c r="G9" s="1"/>
    </row>
    <row r="10" spans="1:7" x14ac:dyDescent="0.45">
      <c r="A10" s="1"/>
      <c r="B10" s="115" t="s">
        <v>236</v>
      </c>
      <c r="C10" s="116"/>
      <c r="D10" s="117"/>
      <c r="E10" s="9">
        <v>-380573.4996551834</v>
      </c>
      <c r="F10" s="14" t="s">
        <v>3</v>
      </c>
      <c r="G10" s="1"/>
    </row>
    <row r="11" spans="1:7" x14ac:dyDescent="0.45">
      <c r="A11" s="1"/>
      <c r="B11" s="115" t="s">
        <v>237</v>
      </c>
      <c r="C11" s="116"/>
      <c r="D11" s="117"/>
      <c r="E11" s="9">
        <v>-547959.61763096601</v>
      </c>
      <c r="F11" s="14" t="s">
        <v>3</v>
      </c>
      <c r="G11" s="1"/>
    </row>
    <row r="12" spans="1:7" x14ac:dyDescent="0.45">
      <c r="A12" s="1"/>
      <c r="B12" s="115" t="s">
        <v>238</v>
      </c>
      <c r="C12" s="116"/>
      <c r="D12" s="117"/>
      <c r="E12" s="9">
        <f>IF(OR(AND(E10&gt;0,E11&lt;0),AND(E11&lt;0,E34&gt;0)),E17+E18,E11)</f>
        <v>-547959.61763096601</v>
      </c>
      <c r="F12" s="14" t="s">
        <v>3</v>
      </c>
      <c r="G12" s="1"/>
    </row>
    <row r="13" spans="1:7" x14ac:dyDescent="0.45">
      <c r="A13" s="1"/>
      <c r="B13" s="51"/>
      <c r="C13" s="52"/>
      <c r="D13" s="52"/>
      <c r="E13" s="52"/>
      <c r="F13" s="20"/>
      <c r="G13" s="1"/>
    </row>
    <row r="14" spans="1:7" ht="54.75" customHeight="1" x14ac:dyDescent="0.45">
      <c r="A14" s="1"/>
      <c r="B14" s="101" t="s">
        <v>239</v>
      </c>
      <c r="C14" s="102"/>
      <c r="D14" s="102"/>
      <c r="E14" s="102"/>
      <c r="F14" s="103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12" t="s">
        <v>240</v>
      </c>
      <c r="C16" s="113"/>
      <c r="D16" s="113"/>
      <c r="E16" s="113"/>
      <c r="F16" s="114"/>
      <c r="G16" s="1"/>
    </row>
    <row r="17" spans="1:7" x14ac:dyDescent="0.45">
      <c r="A17" s="1"/>
      <c r="B17" s="115" t="s">
        <v>241</v>
      </c>
      <c r="C17" s="116"/>
      <c r="D17" s="117"/>
      <c r="E17" s="9">
        <v>-273980</v>
      </c>
      <c r="F17" s="14" t="s">
        <v>3</v>
      </c>
      <c r="G17" s="1"/>
    </row>
    <row r="18" spans="1:7" x14ac:dyDescent="0.45">
      <c r="A18" s="1"/>
      <c r="B18" s="115" t="s">
        <v>242</v>
      </c>
      <c r="C18" s="116"/>
      <c r="D18" s="117"/>
      <c r="E18" s="9">
        <v>-273980</v>
      </c>
      <c r="F18" s="14" t="s">
        <v>3</v>
      </c>
      <c r="G18" s="1"/>
    </row>
    <row r="19" spans="1:7" x14ac:dyDescent="0.45">
      <c r="A19" s="1"/>
      <c r="B19" s="51"/>
      <c r="C19" s="52"/>
      <c r="D19" s="52"/>
      <c r="E19" s="52"/>
      <c r="F19" s="20"/>
      <c r="G19" s="1"/>
    </row>
    <row r="20" spans="1:7" ht="30" customHeight="1" x14ac:dyDescent="0.45">
      <c r="A20" s="1"/>
      <c r="B20" s="101" t="s">
        <v>243</v>
      </c>
      <c r="C20" s="102"/>
      <c r="D20" s="102"/>
      <c r="E20" s="102"/>
      <c r="F20" s="103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60" t="s">
        <v>206</v>
      </c>
      <c r="C22" s="61"/>
      <c r="D22" s="61"/>
      <c r="E22" s="61"/>
      <c r="F22" s="62"/>
      <c r="G22" s="1"/>
    </row>
    <row r="23" spans="1:7" x14ac:dyDescent="0.45">
      <c r="A23" s="1"/>
      <c r="B23" s="57" t="s">
        <v>207</v>
      </c>
      <c r="C23" s="58"/>
      <c r="D23" s="59"/>
      <c r="E23" s="9">
        <v>27975859.475650981</v>
      </c>
      <c r="F23" s="14" t="s">
        <v>3</v>
      </c>
      <c r="G23" s="1"/>
    </row>
    <row r="24" spans="1:7" x14ac:dyDescent="0.45">
      <c r="A24" s="1"/>
      <c r="B24" s="57" t="s">
        <v>208</v>
      </c>
      <c r="C24" s="58"/>
      <c r="D24" s="59"/>
      <c r="E24" s="9">
        <v>27091484.73</v>
      </c>
      <c r="F24" s="14" t="s">
        <v>3</v>
      </c>
      <c r="G24" s="1"/>
    </row>
    <row r="25" spans="1:7" x14ac:dyDescent="0.45">
      <c r="A25" s="1"/>
      <c r="B25" s="57" t="s">
        <v>34</v>
      </c>
      <c r="C25" s="58"/>
      <c r="D25" s="59"/>
      <c r="E25" s="9">
        <v>0</v>
      </c>
      <c r="F25" s="14" t="s">
        <v>3</v>
      </c>
      <c r="G25" s="1"/>
    </row>
    <row r="26" spans="1:7" x14ac:dyDescent="0.45">
      <c r="A26" s="1"/>
      <c r="B26" s="64" t="s">
        <v>250</v>
      </c>
      <c r="C26" s="65"/>
      <c r="D26" s="66"/>
      <c r="E26" s="45">
        <f>E23-(E24-E25)</f>
        <v>884374.74565098062</v>
      </c>
      <c r="F26" s="17" t="s">
        <v>3</v>
      </c>
      <c r="G26" s="1"/>
    </row>
    <row r="27" spans="1:7" x14ac:dyDescent="0.45">
      <c r="A27" s="1"/>
      <c r="B27" s="51"/>
      <c r="C27" s="52"/>
      <c r="D27" s="52"/>
      <c r="E27" s="5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12" t="s">
        <v>244</v>
      </c>
      <c r="C29" s="113"/>
      <c r="D29" s="113"/>
      <c r="E29" s="113"/>
      <c r="F29" s="114"/>
      <c r="G29" s="1"/>
    </row>
    <row r="30" spans="1:7" x14ac:dyDescent="0.45">
      <c r="A30" s="1"/>
      <c r="B30" s="133" t="s">
        <v>245</v>
      </c>
      <c r="C30" s="134"/>
      <c r="D30" s="135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(E17+ABS(E12))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273979.61763096601</v>
      </c>
      <c r="F30" s="17" t="s">
        <v>3</v>
      </c>
      <c r="G30" s="1"/>
    </row>
    <row r="31" spans="1:7" x14ac:dyDescent="0.45">
      <c r="A31" s="1"/>
      <c r="B31" s="112"/>
      <c r="C31" s="113"/>
      <c r="D31" s="113"/>
      <c r="E31" s="113"/>
      <c r="F31" s="114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12" t="s">
        <v>246</v>
      </c>
      <c r="C33" s="113"/>
      <c r="D33" s="113"/>
      <c r="E33" s="113"/>
      <c r="F33" s="114"/>
      <c r="G33" s="1"/>
    </row>
    <row r="34" spans="1:7" x14ac:dyDescent="0.45">
      <c r="A34" s="1"/>
      <c r="B34" s="137" t="s">
        <v>251</v>
      </c>
      <c r="C34" s="138"/>
      <c r="D34" s="139"/>
      <c r="E34" s="9">
        <v>0</v>
      </c>
      <c r="F34" s="14"/>
      <c r="G34" s="1"/>
    </row>
    <row r="35" spans="1:7" x14ac:dyDescent="0.45">
      <c r="A35" s="1"/>
      <c r="B35" s="137" t="s">
        <v>161</v>
      </c>
      <c r="C35" s="138"/>
      <c r="D35" s="139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45">
      <c r="A36" s="1"/>
      <c r="B36" s="137" t="s">
        <v>110</v>
      </c>
      <c r="C36" s="138"/>
      <c r="D36" s="139"/>
      <c r="E36" s="9">
        <v>4</v>
      </c>
      <c r="F36" s="14" t="s">
        <v>19</v>
      </c>
      <c r="G36" s="1"/>
    </row>
    <row r="37" spans="1:7" x14ac:dyDescent="0.45">
      <c r="A37" s="1"/>
      <c r="B37" s="136" t="s">
        <v>160</v>
      </c>
      <c r="C37" s="136"/>
      <c r="D37" s="136"/>
      <c r="E37" s="10">
        <f>E35/E36</f>
        <v>0</v>
      </c>
      <c r="F37" s="17" t="s">
        <v>3</v>
      </c>
      <c r="G37" s="1"/>
    </row>
    <row r="38" spans="1:7" x14ac:dyDescent="0.45">
      <c r="A38" s="1"/>
      <c r="B38" s="130"/>
      <c r="C38" s="131"/>
      <c r="D38" s="131"/>
      <c r="E38" s="131"/>
      <c r="F38" s="132"/>
      <c r="G38" s="1"/>
    </row>
    <row r="39" spans="1:7" ht="75" customHeight="1" x14ac:dyDescent="0.45">
      <c r="A39" s="1"/>
      <c r="B39" s="101" t="s">
        <v>249</v>
      </c>
      <c r="C39" s="102"/>
      <c r="D39" s="102"/>
      <c r="E39" s="102"/>
      <c r="F39" s="103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XAmIjG7ZpOFWOSC1VYF3rAv9D5UXwIeUsJXJaujfbOaj7HLLuuJm0b1TWMJeGd8FKnlLwPqrVk2LVqrHIP/2eA==" saltValue="CR43wrM/gPfZuT68hnDn3A==" spinCount="100000" sheet="1" objects="1" scenarios="1"/>
  <mergeCells count="21">
    <mergeCell ref="B31:F31"/>
    <mergeCell ref="B33:F33"/>
    <mergeCell ref="B34:D34"/>
    <mergeCell ref="B35:D35"/>
    <mergeCell ref="B36:D36"/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4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12" t="s">
        <v>157</v>
      </c>
      <c r="C8" s="113"/>
      <c r="D8" s="113"/>
      <c r="E8" s="113"/>
      <c r="F8" s="113"/>
      <c r="G8" s="113"/>
      <c r="H8" s="114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4"/>
      <c r="I9" s="1"/>
    </row>
    <row r="10" spans="1:9" x14ac:dyDescent="0.45">
      <c r="A10" s="1"/>
      <c r="B10" s="68" t="s">
        <v>252</v>
      </c>
      <c r="C10" s="6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112" t="s">
        <v>158</v>
      </c>
      <c r="C11" s="113"/>
      <c r="D11" s="114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LHgYMyHva4chLJ6QWpYBeZ506NJxGhdYT4SgHLfl9KOhWAu9CJgfeupq0J0uBN6rgMa7liPIqwE4PjbxHu+jhw==" saltValue="lSunFxRk2NL5BmxAXqxQI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1" t="s">
        <v>84</v>
      </c>
      <c r="C8" s="52"/>
      <c r="D8" s="52"/>
      <c r="E8" s="52"/>
      <c r="F8" s="20"/>
      <c r="G8" s="1"/>
    </row>
    <row r="9" spans="1:7" ht="17.25" customHeight="1" x14ac:dyDescent="0.45">
      <c r="A9" s="1"/>
      <c r="B9" s="49" t="s">
        <v>16</v>
      </c>
      <c r="C9" s="49" t="s">
        <v>11</v>
      </c>
      <c r="D9" s="50"/>
      <c r="E9" s="49" t="s">
        <v>32</v>
      </c>
      <c r="F9" s="54"/>
      <c r="G9" s="1"/>
    </row>
    <row r="10" spans="1:7" x14ac:dyDescent="0.4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45">
      <c r="A11" s="1"/>
      <c r="B11" s="51" t="s">
        <v>136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51" t="s">
        <v>209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xhZWiyxqv065QZcEsJG50z4tsseiwRvbXNRC2HrdUi/JC1ytYxO2OgvgUd2fIDxdOgLuita9MEhhdL6PU6Gjwg==" saltValue="Inpb/ZFyPFMURx6YBOxrf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2" t="s">
        <v>102</v>
      </c>
      <c r="C8" s="113"/>
      <c r="D8" s="113"/>
      <c r="E8" s="113"/>
      <c r="F8" s="114"/>
      <c r="G8" s="1"/>
    </row>
    <row r="9" spans="1:7" x14ac:dyDescent="0.45">
      <c r="A9" s="1"/>
      <c r="B9" s="49" t="s">
        <v>16</v>
      </c>
      <c r="C9" s="49" t="s">
        <v>11</v>
      </c>
      <c r="D9" s="50"/>
      <c r="E9" s="49" t="s">
        <v>32</v>
      </c>
      <c r="F9" s="54"/>
      <c r="G9" s="1"/>
    </row>
    <row r="10" spans="1:7" x14ac:dyDescent="0.45">
      <c r="A10" s="1"/>
      <c r="B10" s="25" t="s">
        <v>253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51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45">
      <c r="A14" s="1"/>
      <c r="B14" s="51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12" t="s">
        <v>103</v>
      </c>
      <c r="C16" s="113"/>
      <c r="D16" s="113"/>
      <c r="E16" s="113"/>
      <c r="F16" s="114"/>
      <c r="G16" s="1"/>
    </row>
    <row r="17" spans="1:7" x14ac:dyDescent="0.45">
      <c r="A17" s="1"/>
      <c r="B17" s="49" t="s">
        <v>16</v>
      </c>
      <c r="C17" s="49" t="s">
        <v>11</v>
      </c>
      <c r="D17" s="50"/>
      <c r="E17" s="49" t="s">
        <v>32</v>
      </c>
      <c r="F17" s="54"/>
      <c r="G17" s="1"/>
    </row>
    <row r="18" spans="1:7" x14ac:dyDescent="0.45">
      <c r="A18" s="1"/>
      <c r="B18" s="25" t="s">
        <v>253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51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45">
      <c r="A22" s="1"/>
      <c r="B22" s="51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12" t="s">
        <v>138</v>
      </c>
      <c r="C24" s="113"/>
      <c r="D24" s="113"/>
      <c r="E24" s="113"/>
      <c r="F24" s="114"/>
      <c r="G24" s="1"/>
    </row>
    <row r="25" spans="1:7" x14ac:dyDescent="0.45">
      <c r="A25" s="1"/>
      <c r="B25" s="49" t="s">
        <v>16</v>
      </c>
      <c r="C25" s="49" t="s">
        <v>11</v>
      </c>
      <c r="D25" s="50"/>
      <c r="E25" s="49" t="s">
        <v>32</v>
      </c>
      <c r="F25" s="54"/>
      <c r="G25" s="1"/>
    </row>
    <row r="26" spans="1:7" x14ac:dyDescent="0.45">
      <c r="A26" s="1"/>
      <c r="B26" s="25" t="s">
        <v>253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51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45">
      <c r="A30" s="1"/>
      <c r="B30" s="51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12" t="s">
        <v>211</v>
      </c>
      <c r="C32" s="113"/>
      <c r="D32" s="113"/>
      <c r="E32" s="113"/>
      <c r="F32" s="114"/>
      <c r="G32" s="1"/>
    </row>
    <row r="33" spans="1:7" x14ac:dyDescent="0.45">
      <c r="A33" s="1"/>
      <c r="B33" s="49" t="s">
        <v>16</v>
      </c>
      <c r="C33" s="49" t="s">
        <v>11</v>
      </c>
      <c r="D33" s="50"/>
      <c r="E33" s="49" t="s">
        <v>32</v>
      </c>
      <c r="F33" s="54"/>
      <c r="G33" s="1"/>
    </row>
    <row r="34" spans="1:7" x14ac:dyDescent="0.45">
      <c r="A34" s="1"/>
      <c r="B34" s="25" t="s">
        <v>253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51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45">
      <c r="A38" s="1"/>
      <c r="B38" s="51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K/m3Bq8yPFAln+zYTcdEx3MBaaHjHL8YSe8LfoB1Q6jv0qQuvl+4Lb1cZeGt9Ky8jcyAhX+AgY/YpdOANBDYng==" saltValue="GmZvftZO9apxDnsImAA6T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7" t="s">
        <v>166</v>
      </c>
      <c r="C3" s="97"/>
      <c r="D3" s="97"/>
      <c r="E3" s="97"/>
      <c r="F3" s="97"/>
      <c r="G3" s="1"/>
    </row>
    <row r="4" spans="1:7" ht="25.5" customHeight="1" x14ac:dyDescent="0.45">
      <c r="A4" s="1"/>
      <c r="B4" s="97"/>
      <c r="C4" s="97"/>
      <c r="D4" s="97"/>
      <c r="E4" s="97"/>
      <c r="F4" s="9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2" t="s">
        <v>130</v>
      </c>
      <c r="C8" s="113"/>
      <c r="D8" s="113"/>
      <c r="E8" s="113"/>
      <c r="F8" s="114"/>
      <c r="G8" s="1"/>
    </row>
    <row r="9" spans="1:7" ht="15" customHeight="1" x14ac:dyDescent="0.45">
      <c r="A9" s="1"/>
      <c r="B9" s="53" t="s">
        <v>131</v>
      </c>
      <c r="C9" s="107" t="s">
        <v>11</v>
      </c>
      <c r="D9" s="109"/>
      <c r="E9" s="107" t="s">
        <v>32</v>
      </c>
      <c r="F9" s="109"/>
      <c r="G9" s="1"/>
    </row>
    <row r="10" spans="1:7" x14ac:dyDescent="0.45">
      <c r="A10" s="1"/>
      <c r="B10" s="25" t="s">
        <v>226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Zo1ktEdvZk2AnkIgQ2/gTG7bYKrRTROaNDQltXiZ+IoETaPLgyhbngq+pKySQzfMNH/3o29mKyuEfJaTkq/Skw==" saltValue="RG15W9bMG95JMDRZLkCij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7" t="s">
        <v>165</v>
      </c>
      <c r="C3" s="97"/>
      <c r="D3" s="97"/>
      <c r="E3" s="97"/>
      <c r="F3" s="97"/>
      <c r="G3" s="1"/>
    </row>
    <row r="4" spans="1:7" ht="25.5" customHeight="1" x14ac:dyDescent="0.45">
      <c r="A4" s="1"/>
      <c r="B4" s="97"/>
      <c r="C4" s="97"/>
      <c r="D4" s="97"/>
      <c r="E4" s="97"/>
      <c r="F4" s="9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2" t="s">
        <v>98</v>
      </c>
      <c r="C8" s="113"/>
      <c r="D8" s="113"/>
      <c r="E8" s="113"/>
      <c r="F8" s="114"/>
      <c r="G8" s="1"/>
    </row>
    <row r="9" spans="1:7" ht="15" customHeight="1" x14ac:dyDescent="0.45">
      <c r="A9" s="1"/>
      <c r="B9" s="53" t="s">
        <v>17</v>
      </c>
      <c r="C9" s="53" t="s">
        <v>11</v>
      </c>
      <c r="D9" s="54"/>
      <c r="E9" s="53" t="s">
        <v>32</v>
      </c>
      <c r="F9" s="54"/>
      <c r="G9" s="1"/>
    </row>
    <row r="10" spans="1:7" x14ac:dyDescent="0.45">
      <c r="A10" s="1"/>
      <c r="B10" s="25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51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51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12" t="s">
        <v>99</v>
      </c>
      <c r="C15" s="113"/>
      <c r="D15" s="113"/>
      <c r="E15" s="113"/>
      <c r="F15" s="114"/>
      <c r="G15" s="1"/>
    </row>
    <row r="16" spans="1:7" x14ac:dyDescent="0.45">
      <c r="A16" s="1"/>
      <c r="B16" s="53" t="s">
        <v>17</v>
      </c>
      <c r="C16" s="53" t="s">
        <v>11</v>
      </c>
      <c r="D16" s="54"/>
      <c r="E16" s="53" t="s">
        <v>32</v>
      </c>
      <c r="F16" s="54"/>
      <c r="G16" s="1"/>
    </row>
    <row r="17" spans="1:7" x14ac:dyDescent="0.45">
      <c r="A17" s="1"/>
      <c r="B17" s="25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51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51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12" t="s">
        <v>142</v>
      </c>
      <c r="C22" s="113"/>
      <c r="D22" s="113"/>
      <c r="E22" s="113"/>
      <c r="F22" s="114"/>
      <c r="G22" s="1"/>
    </row>
    <row r="23" spans="1:7" x14ac:dyDescent="0.45">
      <c r="A23" s="1"/>
      <c r="B23" s="53" t="s">
        <v>17</v>
      </c>
      <c r="C23" s="53" t="s">
        <v>11</v>
      </c>
      <c r="D23" s="54"/>
      <c r="E23" s="53" t="s">
        <v>32</v>
      </c>
      <c r="F23" s="54"/>
      <c r="G23" s="1"/>
    </row>
    <row r="24" spans="1:7" x14ac:dyDescent="0.45">
      <c r="A24" s="1"/>
      <c r="B24" s="25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51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51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12" t="s">
        <v>214</v>
      </c>
      <c r="C29" s="113"/>
      <c r="D29" s="113"/>
      <c r="E29" s="113"/>
      <c r="F29" s="114"/>
      <c r="G29" s="1"/>
    </row>
    <row r="30" spans="1:7" x14ac:dyDescent="0.45">
      <c r="A30" s="1"/>
      <c r="B30" s="53" t="s">
        <v>17</v>
      </c>
      <c r="C30" s="53" t="s">
        <v>11</v>
      </c>
      <c r="D30" s="54"/>
      <c r="E30" s="53" t="s">
        <v>32</v>
      </c>
      <c r="F30" s="54"/>
      <c r="G30" s="1"/>
    </row>
    <row r="31" spans="1:7" x14ac:dyDescent="0.45">
      <c r="A31" s="1"/>
      <c r="B31" s="25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51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51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EP+RvN4AKBF8FpucbCwAtulrUnPZTSPQIA6mjEMI/Z95IU0TbRfG1OfLCTNZF9TVBde9tWyaHnjvbp6cA5QsJw==" saltValue="Fi+Dm6wLZS9TyzmLKp/JZ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7" t="s">
        <v>164</v>
      </c>
      <c r="C3" s="97"/>
      <c r="D3" s="1"/>
    </row>
    <row r="4" spans="1:4" ht="25.5" customHeight="1" x14ac:dyDescent="0.45">
      <c r="A4" s="1"/>
      <c r="B4" s="97"/>
      <c r="C4" s="97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1" t="s">
        <v>14</v>
      </c>
      <c r="C8" s="20"/>
      <c r="D8" s="1"/>
    </row>
    <row r="9" spans="1:4" x14ac:dyDescent="0.45">
      <c r="A9" s="1"/>
      <c r="B9" s="63" t="s">
        <v>118</v>
      </c>
      <c r="C9" s="26">
        <v>1.2699999999999999E-2</v>
      </c>
      <c r="D9" s="1"/>
    </row>
    <row r="10" spans="1:4" x14ac:dyDescent="0.45">
      <c r="A10" s="1"/>
      <c r="B10" s="63" t="s">
        <v>22</v>
      </c>
      <c r="C10" s="26">
        <v>1.7500000000000002E-2</v>
      </c>
      <c r="D10" s="1"/>
    </row>
    <row r="11" spans="1:4" x14ac:dyDescent="0.45">
      <c r="A11" s="1"/>
      <c r="B11" s="63" t="s">
        <v>119</v>
      </c>
      <c r="C11" s="26">
        <v>1.6899999999999998E-2</v>
      </c>
      <c r="D11" s="1"/>
    </row>
    <row r="12" spans="1:4" x14ac:dyDescent="0.45">
      <c r="A12" s="1"/>
      <c r="B12" s="33" t="s">
        <v>42</v>
      </c>
      <c r="C12" s="34">
        <v>1.9699999999999999E-2</v>
      </c>
      <c r="D12" s="1"/>
    </row>
    <row r="13" spans="1:4" x14ac:dyDescent="0.45">
      <c r="A13" s="1"/>
      <c r="B13" s="33" t="s">
        <v>140</v>
      </c>
      <c r="C13" s="34">
        <v>1.2200000000000001E-2</v>
      </c>
      <c r="D13" s="1"/>
    </row>
    <row r="14" spans="1:4" x14ac:dyDescent="0.45">
      <c r="A14" s="1"/>
      <c r="B14" s="33" t="s">
        <v>216</v>
      </c>
      <c r="C14" s="70">
        <v>3.3E-3</v>
      </c>
      <c r="D14" s="1"/>
    </row>
    <row r="15" spans="1:4" x14ac:dyDescent="0.45">
      <c r="A15" s="1"/>
      <c r="B15" s="112"/>
      <c r="C15" s="114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1" t="s">
        <v>106</v>
      </c>
      <c r="C18" s="20"/>
      <c r="D18" s="1"/>
    </row>
    <row r="19" spans="1:4" x14ac:dyDescent="0.45">
      <c r="A19" s="1"/>
      <c r="B19" s="63" t="s">
        <v>120</v>
      </c>
      <c r="C19" s="23">
        <v>9.1000000000000004E-3</v>
      </c>
      <c r="D19" s="1"/>
    </row>
    <row r="20" spans="1:4" x14ac:dyDescent="0.45">
      <c r="A20" s="1"/>
      <c r="B20" s="63" t="s">
        <v>121</v>
      </c>
      <c r="C20" s="23">
        <v>1.77E-2</v>
      </c>
      <c r="D20" s="1"/>
    </row>
    <row r="21" spans="1:4" x14ac:dyDescent="0.45">
      <c r="A21" s="1"/>
      <c r="B21" s="63" t="s">
        <v>122</v>
      </c>
      <c r="C21" s="23">
        <v>8.6999999999999994E-3</v>
      </c>
      <c r="D21" s="1"/>
    </row>
    <row r="22" spans="1:4" x14ac:dyDescent="0.45">
      <c r="A22" s="1"/>
      <c r="B22" s="63" t="s">
        <v>123</v>
      </c>
      <c r="C22" s="35">
        <v>2.8400000000000002E-2</v>
      </c>
      <c r="D22" s="1"/>
    </row>
    <row r="23" spans="1:4" x14ac:dyDescent="0.45">
      <c r="A23" s="1"/>
      <c r="B23" s="63" t="s">
        <v>146</v>
      </c>
      <c r="C23" s="35">
        <v>2.75E-2</v>
      </c>
      <c r="D23" s="1"/>
    </row>
    <row r="24" spans="1:4" x14ac:dyDescent="0.45">
      <c r="A24" s="1"/>
      <c r="B24" s="63" t="s">
        <v>217</v>
      </c>
      <c r="C24" s="35">
        <v>1.4800000000000001E-2</v>
      </c>
      <c r="D24" s="1"/>
    </row>
    <row r="25" spans="1:4" x14ac:dyDescent="0.45">
      <c r="A25" s="1"/>
      <c r="B25" s="51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51" t="s">
        <v>107</v>
      </c>
      <c r="C28" s="20"/>
      <c r="D28" s="1"/>
    </row>
    <row r="29" spans="1:4" x14ac:dyDescent="0.45">
      <c r="A29" s="1"/>
      <c r="B29" s="63" t="s">
        <v>124</v>
      </c>
      <c r="C29" s="26">
        <v>0.02</v>
      </c>
      <c r="D29" s="1"/>
    </row>
    <row r="30" spans="1:4" x14ac:dyDescent="0.45">
      <c r="A30" s="1"/>
      <c r="B30" s="51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ch8tDmjrpKM9tJSkJ/EfAEonfwjT2QLGn6qgtCD6DhVZqVNnhPv7cC0D81lR0Yb/isDmgMH8wzndZrnXYIdEAQ==" saltValue="f9qPskUdtlnN2JsS5/Y9FA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9" t="s">
        <v>183</v>
      </c>
      <c r="C3" s="89"/>
      <c r="D3" s="89"/>
      <c r="E3" s="1"/>
    </row>
    <row r="4" spans="1:5" ht="15" customHeight="1" x14ac:dyDescent="0.45">
      <c r="A4" s="1"/>
      <c r="B4" s="89"/>
      <c r="C4" s="89"/>
      <c r="D4" s="89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51" t="s">
        <v>13</v>
      </c>
      <c r="C8" s="52"/>
      <c r="D8" s="20"/>
      <c r="E8" s="1"/>
    </row>
    <row r="9" spans="1:5" x14ac:dyDescent="0.45">
      <c r="A9" s="1"/>
      <c r="B9" s="56" t="s">
        <v>24</v>
      </c>
      <c r="C9" s="7">
        <f>'Fane 3. Omkostninger i ØR2021'!E20</f>
        <v>19134984.493265387</v>
      </c>
      <c r="D9" s="8" t="s">
        <v>3</v>
      </c>
      <c r="E9" s="1"/>
    </row>
    <row r="10" spans="1:5" x14ac:dyDescent="0.45">
      <c r="A10" s="1"/>
      <c r="B10" s="47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0</v>
      </c>
      <c r="D10" s="8" t="s">
        <v>3</v>
      </c>
      <c r="E10" s="1"/>
    </row>
    <row r="11" spans="1:5" x14ac:dyDescent="0.45">
      <c r="A11" s="1"/>
      <c r="B11" s="47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0</v>
      </c>
      <c r="D11" s="8" t="s">
        <v>3</v>
      </c>
      <c r="E11" s="1"/>
    </row>
    <row r="12" spans="1:5" ht="17.100000000000001" customHeight="1" x14ac:dyDescent="0.45">
      <c r="A12" s="1"/>
      <c r="B12" s="30" t="s">
        <v>40</v>
      </c>
      <c r="C12" s="7">
        <f>'Fane 9.1. Varige tillæg'!C12</f>
        <v>0</v>
      </c>
      <c r="D12" s="8" t="s">
        <v>3</v>
      </c>
      <c r="E12" s="1"/>
    </row>
    <row r="13" spans="1:5" ht="17.100000000000001" customHeight="1" x14ac:dyDescent="0.45">
      <c r="A13" s="1"/>
      <c r="B13" s="30" t="s">
        <v>41</v>
      </c>
      <c r="C13" s="9">
        <f>'Fane 9.1. Varige tillæg'!E12</f>
        <v>0</v>
      </c>
      <c r="D13" s="8" t="s">
        <v>3</v>
      </c>
      <c r="E13" s="1"/>
    </row>
    <row r="14" spans="1:5" ht="17.100000000000001" customHeight="1" x14ac:dyDescent="0.4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4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4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4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45">
      <c r="A18" s="1"/>
      <c r="B18" s="30" t="s">
        <v>18</v>
      </c>
      <c r="C18" s="9">
        <f>C9*'Fane 12. Nøgletal'!C13+SUM(C12:C17)*'Fane 12. Nøgletal'!C14</f>
        <v>233446.81081783774</v>
      </c>
      <c r="D18" s="8" t="s">
        <v>3</v>
      </c>
      <c r="E18" s="1"/>
    </row>
    <row r="19" spans="1:5" ht="17.100000000000001" customHeight="1" x14ac:dyDescent="0.45">
      <c r="A19" s="1"/>
      <c r="B19" s="30" t="s">
        <v>9</v>
      </c>
      <c r="C19" s="9">
        <f>-SUM(C9,C12:C18)*'Fane 5. Individuelt eff. krav'!G10</f>
        <v>0</v>
      </c>
      <c r="D19" s="8" t="s">
        <v>3</v>
      </c>
      <c r="E19" s="1"/>
    </row>
    <row r="20" spans="1:5" ht="17.100000000000001" customHeight="1" x14ac:dyDescent="0.45">
      <c r="A20" s="1"/>
      <c r="B20" s="30" t="s">
        <v>25</v>
      </c>
      <c r="C20" s="9">
        <f>-'Fane 4.1. Gen. krav - drift'!G38</f>
        <v>-163699.03996976101</v>
      </c>
      <c r="D20" s="8" t="s">
        <v>3</v>
      </c>
      <c r="E20" s="1"/>
    </row>
    <row r="21" spans="1:5" ht="17.100000000000001" customHeight="1" x14ac:dyDescent="0.45">
      <c r="A21" s="1"/>
      <c r="B21" s="30" t="s">
        <v>26</v>
      </c>
      <c r="C21" s="9">
        <f>-'Fane 4.2. Gen. krav - anlæg'!G38</f>
        <v>-318531.73581408733</v>
      </c>
      <c r="D21" s="8" t="s">
        <v>3</v>
      </c>
      <c r="E21" s="1"/>
    </row>
    <row r="22" spans="1:5" ht="17.100000000000001" customHeight="1" x14ac:dyDescent="0.45">
      <c r="A22" s="1"/>
      <c r="B22" s="64" t="s">
        <v>20</v>
      </c>
      <c r="C22" s="10">
        <f>SUM(C9,C12:C21)</f>
        <v>18886200.528299376</v>
      </c>
      <c r="D22" s="11" t="s">
        <v>3</v>
      </c>
      <c r="E22" s="1"/>
    </row>
    <row r="23" spans="1:5" ht="15" customHeight="1" x14ac:dyDescent="0.45">
      <c r="A23" s="1"/>
      <c r="B23" s="51" t="s">
        <v>12</v>
      </c>
      <c r="C23" s="52"/>
      <c r="D23" s="20"/>
      <c r="E23" s="1"/>
    </row>
    <row r="24" spans="1:5" ht="15" customHeight="1" x14ac:dyDescent="0.45">
      <c r="A24" s="1"/>
      <c r="B24" s="53" t="s">
        <v>12</v>
      </c>
      <c r="C24" s="10">
        <f>'Fane 6. Ikke-påvirkelige omk.'!C17</f>
        <v>7982200.0445292741</v>
      </c>
      <c r="D24" s="11" t="s">
        <v>3</v>
      </c>
      <c r="E24" s="1"/>
    </row>
    <row r="25" spans="1:5" ht="15" customHeight="1" x14ac:dyDescent="0.45">
      <c r="A25" s="1"/>
      <c r="B25" s="51" t="s">
        <v>89</v>
      </c>
      <c r="C25" s="52"/>
      <c r="D25" s="20"/>
      <c r="E25" s="1"/>
    </row>
    <row r="26" spans="1:5" ht="15" customHeight="1" x14ac:dyDescent="0.4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4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4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45">
      <c r="A29" s="1"/>
      <c r="B29" s="36" t="s">
        <v>161</v>
      </c>
      <c r="C29" s="52"/>
      <c r="D29" s="20"/>
      <c r="E29" s="1"/>
    </row>
    <row r="30" spans="1:5" x14ac:dyDescent="0.45">
      <c r="A30" s="1"/>
      <c r="B30" s="67" t="s">
        <v>162</v>
      </c>
      <c r="C30" s="10">
        <f>'Fane 7. Kontrol af ØR2020'!E30</f>
        <v>273979.61763096601</v>
      </c>
      <c r="D30" s="11" t="s">
        <v>3</v>
      </c>
      <c r="E30" s="1"/>
    </row>
    <row r="31" spans="1:5" x14ac:dyDescent="0.45">
      <c r="A31" s="1"/>
      <c r="B31" s="36" t="s">
        <v>224</v>
      </c>
      <c r="C31" s="52"/>
      <c r="D31" s="20"/>
      <c r="E31" s="1"/>
    </row>
    <row r="32" spans="1:5" x14ac:dyDescent="0.45">
      <c r="A32" s="1"/>
      <c r="B32" s="67" t="s">
        <v>225</v>
      </c>
      <c r="C32" s="10">
        <v>0</v>
      </c>
      <c r="D32" s="11" t="s">
        <v>3</v>
      </c>
      <c r="E32" s="1"/>
    </row>
    <row r="33" spans="1:5" x14ac:dyDescent="0.45">
      <c r="A33" s="1"/>
      <c r="B33" s="51" t="s">
        <v>30</v>
      </c>
      <c r="C33" s="31">
        <f>SUM(C22,C24,C28,C30,C32)</f>
        <v>27142380.190459616</v>
      </c>
      <c r="D33" s="20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</sheetData>
  <sheetProtection algorithmName="SHA-512" hashValue="PEZjFBvaHVTveFExcKFhvRXfm2StLzMY2nhzPycPHd3sa8w19dsGDsrAt6AqXbimwkBJQlsomplGTVfJwuJ6qg==" saltValue="rJQ2v+3EEwG2jKbJJ/SBh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6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9" t="s">
        <v>184</v>
      </c>
      <c r="C3" s="89"/>
      <c r="D3" s="89"/>
      <c r="E3" s="1"/>
    </row>
    <row r="4" spans="1:5" ht="15" customHeight="1" x14ac:dyDescent="0.45">
      <c r="A4" s="1"/>
      <c r="B4" s="89"/>
      <c r="C4" s="89"/>
      <c r="D4" s="89"/>
      <c r="E4" s="1"/>
    </row>
    <row r="5" spans="1:5" x14ac:dyDescent="0.45">
      <c r="A5" s="1"/>
      <c r="B5" s="90" t="s">
        <v>21</v>
      </c>
      <c r="C5" s="90"/>
      <c r="D5" s="90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51" t="s">
        <v>13</v>
      </c>
      <c r="C7" s="52"/>
      <c r="D7" s="20"/>
      <c r="E7" s="1"/>
    </row>
    <row r="8" spans="1:5" ht="15" customHeight="1" x14ac:dyDescent="0.45">
      <c r="A8" s="1"/>
      <c r="B8" s="56" t="s">
        <v>134</v>
      </c>
      <c r="C8" s="7">
        <f>'Fane 2.1. Økonomisk ramme 2022'!C22</f>
        <v>18886200.528299376</v>
      </c>
      <c r="D8" s="8" t="s">
        <v>3</v>
      </c>
      <c r="E8" s="1"/>
    </row>
    <row r="9" spans="1:5" ht="15" customHeight="1" x14ac:dyDescent="0.45">
      <c r="A9" s="1"/>
      <c r="B9" s="30" t="s">
        <v>28</v>
      </c>
      <c r="C9" s="7">
        <f>-'Fane 11. Bortfald'!C19</f>
        <v>0</v>
      </c>
      <c r="D9" s="8" t="s">
        <v>3</v>
      </c>
      <c r="E9" s="1"/>
    </row>
    <row r="10" spans="1:5" ht="15" customHeight="1" x14ac:dyDescent="0.45">
      <c r="A10" s="1"/>
      <c r="B10" s="30" t="s">
        <v>27</v>
      </c>
      <c r="C10" s="7">
        <f>-'Fane 11. Bortfald'!E19</f>
        <v>0</v>
      </c>
      <c r="D10" s="8" t="s">
        <v>3</v>
      </c>
      <c r="E10" s="1"/>
    </row>
    <row r="11" spans="1:5" ht="15" customHeight="1" x14ac:dyDescent="0.45">
      <c r="A11" s="1"/>
      <c r="B11" s="47" t="s">
        <v>18</v>
      </c>
      <c r="C11" s="9">
        <f>SUM(C8:C10)*'Fane 12. Nøgletal'!C14</f>
        <v>62324.461743387939</v>
      </c>
      <c r="D11" s="8" t="s">
        <v>3</v>
      </c>
      <c r="E11" s="1"/>
    </row>
    <row r="12" spans="1:5" ht="15" customHeight="1" x14ac:dyDescent="0.45">
      <c r="A12" s="1"/>
      <c r="B12" s="47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47" t="s">
        <v>25</v>
      </c>
      <c r="C13" s="9">
        <f>-'Fane 4.1. Gen. krav - drift'!G44</f>
        <v>-160954.46186562802</v>
      </c>
      <c r="D13" s="8" t="s">
        <v>3</v>
      </c>
      <c r="E13" s="1"/>
    </row>
    <row r="14" spans="1:5" ht="15" customHeight="1" x14ac:dyDescent="0.45">
      <c r="A14" s="1"/>
      <c r="B14" s="47" t="s">
        <v>26</v>
      </c>
      <c r="C14" s="9">
        <f>-'Fane 4.2. Gen. krav - anlæg'!G44</f>
        <v>-167263.87431181627</v>
      </c>
      <c r="D14" s="8" t="s">
        <v>3</v>
      </c>
      <c r="E14" s="1"/>
    </row>
    <row r="15" spans="1:5" ht="15" customHeight="1" x14ac:dyDescent="0.45">
      <c r="A15" s="1"/>
      <c r="B15" s="48" t="s">
        <v>20</v>
      </c>
      <c r="C15" s="10">
        <f>SUM(C8:C14)</f>
        <v>18620306.653865322</v>
      </c>
      <c r="D15" s="11" t="s">
        <v>3</v>
      </c>
      <c r="E15" s="1"/>
    </row>
    <row r="16" spans="1:5" x14ac:dyDescent="0.45">
      <c r="A16" s="1"/>
      <c r="B16" s="51" t="s">
        <v>12</v>
      </c>
      <c r="C16" s="52"/>
      <c r="D16" s="20"/>
      <c r="E16" s="1"/>
    </row>
    <row r="17" spans="1:5" ht="15" customHeight="1" x14ac:dyDescent="0.45">
      <c r="A17" s="1"/>
      <c r="B17" s="53" t="s">
        <v>12</v>
      </c>
      <c r="C17" s="10">
        <f>'Fane 6. Ikke-påvirkelige omk.'!C17*(1+'Fane 12. Nøgletal'!C14)</f>
        <v>8008541.3046762217</v>
      </c>
      <c r="D17" s="11" t="s">
        <v>3</v>
      </c>
      <c r="E17" s="1"/>
    </row>
    <row r="18" spans="1:5" ht="15" customHeight="1" x14ac:dyDescent="0.45">
      <c r="A18" s="1"/>
      <c r="B18" s="51" t="s">
        <v>89</v>
      </c>
      <c r="C18" s="52"/>
      <c r="D18" s="20"/>
      <c r="E18" s="1"/>
    </row>
    <row r="19" spans="1:5" ht="15" customHeight="1" x14ac:dyDescent="0.45">
      <c r="A19" s="1"/>
      <c r="B19" s="30" t="s">
        <v>85</v>
      </c>
      <c r="C19" s="9">
        <f>'Fane 9.2. Engangstillæg'!C22</f>
        <v>0</v>
      </c>
      <c r="D19" s="8" t="s">
        <v>3</v>
      </c>
      <c r="E19" s="1"/>
    </row>
    <row r="20" spans="1:5" ht="15" customHeight="1" x14ac:dyDescent="0.45">
      <c r="A20" s="1"/>
      <c r="B20" s="30" t="s">
        <v>86</v>
      </c>
      <c r="C20" s="9">
        <f>'Fane 9.2. Engangstillæg'!E22</f>
        <v>0</v>
      </c>
      <c r="D20" s="8" t="s">
        <v>3</v>
      </c>
      <c r="E20" s="1"/>
    </row>
    <row r="21" spans="1:5" ht="15" customHeight="1" x14ac:dyDescent="0.4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36" t="s">
        <v>161</v>
      </c>
      <c r="C22" s="52"/>
      <c r="D22" s="20"/>
      <c r="E22" s="1"/>
    </row>
    <row r="23" spans="1:5" ht="15" customHeight="1" x14ac:dyDescent="0.45">
      <c r="A23" s="1"/>
      <c r="B23" s="67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45">
      <c r="A24" s="1"/>
      <c r="B24" s="36" t="s">
        <v>224</v>
      </c>
      <c r="C24" s="52"/>
      <c r="D24" s="20"/>
      <c r="E24" s="1"/>
    </row>
    <row r="25" spans="1:5" x14ac:dyDescent="0.4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45">
      <c r="A26" s="1"/>
      <c r="B26" s="51" t="s">
        <v>97</v>
      </c>
      <c r="C26" s="12">
        <f>SUM(C15,C17,C21,C23,C25)</f>
        <v>26628847.958541542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</sheetData>
  <sheetProtection algorithmName="SHA-512" hashValue="W2Ss1IkdJ0neZpeLRfom3zTF5at3jAN+ipqpw1I1d6TXqjphwQszDGQE7i2J5S+/aqy8UH8/a6a8WReJI0Ud6w==" saltValue="yKq7irQEyQkWDppHggABp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9" t="s">
        <v>185</v>
      </c>
      <c r="C3" s="89"/>
      <c r="D3" s="89"/>
      <c r="E3" s="1"/>
    </row>
    <row r="4" spans="1:5" ht="15" customHeight="1" x14ac:dyDescent="0.45">
      <c r="A4" s="1"/>
      <c r="B4" s="89"/>
      <c r="C4" s="89"/>
      <c r="D4" s="89"/>
      <c r="E4" s="1"/>
    </row>
    <row r="5" spans="1:5" x14ac:dyDescent="0.45">
      <c r="A5" s="1"/>
      <c r="B5" s="90" t="s">
        <v>21</v>
      </c>
      <c r="C5" s="90"/>
      <c r="D5" s="90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51" t="s">
        <v>13</v>
      </c>
      <c r="C7" s="52"/>
      <c r="D7" s="20"/>
      <c r="E7" s="1"/>
    </row>
    <row r="8" spans="1:5" ht="15" customHeight="1" x14ac:dyDescent="0.45">
      <c r="A8" s="1"/>
      <c r="B8" s="56" t="s">
        <v>135</v>
      </c>
      <c r="C8" s="7">
        <f>'Fane 2.2. Økonomisk ramme 2023'!C15</f>
        <v>18620306.653865322</v>
      </c>
      <c r="D8" s="8" t="s">
        <v>3</v>
      </c>
      <c r="E8" s="1"/>
    </row>
    <row r="9" spans="1:5" ht="15" customHeight="1" x14ac:dyDescent="0.45">
      <c r="A9" s="1"/>
      <c r="B9" s="56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56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7" t="s">
        <v>18</v>
      </c>
      <c r="C11" s="9">
        <f>SUM(C8:C10)*'Fane 12. Nøgletal'!C14</f>
        <v>61447.011957755567</v>
      </c>
      <c r="D11" s="8" t="s">
        <v>3</v>
      </c>
      <c r="E11" s="1"/>
    </row>
    <row r="12" spans="1:5" ht="15" customHeight="1" x14ac:dyDescent="0.45">
      <c r="A12" s="1"/>
      <c r="B12" s="47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47" t="s">
        <v>25</v>
      </c>
      <c r="C13" s="9">
        <f>-'Fane 4.1. Gen. krav - drift'!G50</f>
        <v>-158255.89935798891</v>
      </c>
      <c r="D13" s="8" t="s">
        <v>3</v>
      </c>
      <c r="E13" s="1"/>
    </row>
    <row r="14" spans="1:5" ht="15" customHeight="1" x14ac:dyDescent="0.45">
      <c r="A14" s="1"/>
      <c r="B14" s="47" t="s">
        <v>26</v>
      </c>
      <c r="C14" s="43">
        <f>-'Fane 4.2. Gen. krav - anlæg'!G54</f>
        <v>-165332.17058960901</v>
      </c>
      <c r="D14" s="8" t="s">
        <v>3</v>
      </c>
      <c r="E14" s="1"/>
    </row>
    <row r="15" spans="1:5" x14ac:dyDescent="0.45">
      <c r="A15" s="1"/>
      <c r="B15" s="48" t="s">
        <v>20</v>
      </c>
      <c r="C15" s="10">
        <f>SUM(C8:C14)</f>
        <v>18358165.595875483</v>
      </c>
      <c r="D15" s="11" t="s">
        <v>3</v>
      </c>
      <c r="E15" s="1"/>
    </row>
    <row r="16" spans="1:5" x14ac:dyDescent="0.45">
      <c r="A16" s="1"/>
      <c r="B16" s="51" t="s">
        <v>12</v>
      </c>
      <c r="C16" s="52"/>
      <c r="D16" s="20"/>
      <c r="E16" s="1"/>
    </row>
    <row r="17" spans="1:5" ht="15" customHeight="1" x14ac:dyDescent="0.45">
      <c r="A17" s="1"/>
      <c r="B17" s="53" t="s">
        <v>12</v>
      </c>
      <c r="C17" s="10">
        <f>'Fane 6. Ikke-påvirkelige omk.'!C17*(1+'Fane 12. Nøgletal'!C14)^2</f>
        <v>8034969.4909816533</v>
      </c>
      <c r="D17" s="11" t="s">
        <v>3</v>
      </c>
      <c r="E17" s="1"/>
    </row>
    <row r="18" spans="1:5" ht="15" customHeight="1" x14ac:dyDescent="0.45">
      <c r="A18" s="1"/>
      <c r="B18" s="51" t="s">
        <v>89</v>
      </c>
      <c r="C18" s="52"/>
      <c r="D18" s="20"/>
      <c r="E18" s="1"/>
    </row>
    <row r="19" spans="1:5" ht="15" customHeight="1" x14ac:dyDescent="0.4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51" t="s">
        <v>161</v>
      </c>
      <c r="C22" s="52"/>
      <c r="D22" s="20"/>
      <c r="E22" s="1"/>
    </row>
    <row r="23" spans="1:5" x14ac:dyDescent="0.45">
      <c r="A23" s="1"/>
      <c r="B23" s="53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45">
      <c r="A24" s="1"/>
      <c r="B24" s="36" t="s">
        <v>224</v>
      </c>
      <c r="C24" s="52"/>
      <c r="D24" s="20"/>
      <c r="E24" s="1"/>
    </row>
    <row r="25" spans="1:5" ht="15" customHeight="1" x14ac:dyDescent="0.4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45">
      <c r="A26" s="1"/>
      <c r="B26" s="51" t="s">
        <v>186</v>
      </c>
      <c r="C26" s="12">
        <f>SUM(C15,C17,C21,C23,C25)</f>
        <v>26393135.086857136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aaffBR28/HcB/D8UV2/KkuPQoUXvl0D0Oh2yjwxmwEAFFgRQupXVxrru2bF0Prc29P8y4YullmNf7WB4ZFVNwQ==" saltValue="3lhJPbFGpNpZ8BdOeF6f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9" t="s">
        <v>187</v>
      </c>
      <c r="C3" s="89"/>
      <c r="D3" s="89"/>
      <c r="E3" s="1"/>
    </row>
    <row r="4" spans="1:5" ht="15" customHeight="1" x14ac:dyDescent="0.45">
      <c r="A4" s="1"/>
      <c r="B4" s="89"/>
      <c r="C4" s="89"/>
      <c r="D4" s="89"/>
      <c r="E4" s="1"/>
    </row>
    <row r="5" spans="1:5" x14ac:dyDescent="0.45">
      <c r="A5" s="1"/>
      <c r="B5" s="90" t="s">
        <v>21</v>
      </c>
      <c r="C5" s="90"/>
      <c r="D5" s="90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51" t="s">
        <v>13</v>
      </c>
      <c r="C7" s="52"/>
      <c r="D7" s="20"/>
      <c r="E7" s="1"/>
    </row>
    <row r="8" spans="1:5" ht="15" customHeight="1" x14ac:dyDescent="0.45">
      <c r="A8" s="1"/>
      <c r="B8" s="56" t="s">
        <v>188</v>
      </c>
      <c r="C8" s="7">
        <f>'Fane 2.3. Økonomisk ramme 2024'!C15</f>
        <v>18358165.595875483</v>
      </c>
      <c r="D8" s="8" t="s">
        <v>3</v>
      </c>
      <c r="E8" s="1"/>
    </row>
    <row r="9" spans="1:5" ht="15" customHeight="1" x14ac:dyDescent="0.45">
      <c r="A9" s="1"/>
      <c r="B9" s="56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56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7" t="s">
        <v>18</v>
      </c>
      <c r="C11" s="9">
        <f>SUM(C8:C10)*'Fane 12. Nøgletal'!C14</f>
        <v>60581.94646638909</v>
      </c>
      <c r="D11" s="8" t="s">
        <v>3</v>
      </c>
      <c r="E11" s="1"/>
    </row>
    <row r="12" spans="1:5" ht="15" customHeight="1" x14ac:dyDescent="0.45">
      <c r="A12" s="1"/>
      <c r="B12" s="47" t="s">
        <v>9</v>
      </c>
      <c r="C12" s="9">
        <f>-SUM(C8:C11)*'Fane 5. Individuelt eff. krav'!G10</f>
        <v>0</v>
      </c>
      <c r="D12" s="8" t="s">
        <v>3</v>
      </c>
      <c r="E12" s="1"/>
    </row>
    <row r="13" spans="1:5" ht="15" customHeight="1" x14ac:dyDescent="0.45">
      <c r="A13" s="1"/>
      <c r="B13" s="47" t="s">
        <v>25</v>
      </c>
      <c r="C13" s="9">
        <f>-'Fane 4.1. Gen. krav - drift'!G56</f>
        <v>-155602.58094935288</v>
      </c>
      <c r="D13" s="8" t="s">
        <v>3</v>
      </c>
      <c r="E13" s="1"/>
    </row>
    <row r="14" spans="1:5" ht="15" customHeight="1" x14ac:dyDescent="0.45">
      <c r="A14" s="1"/>
      <c r="B14" s="47" t="s">
        <v>26</v>
      </c>
      <c r="C14" s="9">
        <f>-'Fane 4.2. Gen. krav - anlæg'!G60</f>
        <v>-163422.77580461695</v>
      </c>
      <c r="D14" s="8" t="s">
        <v>3</v>
      </c>
      <c r="E14" s="1"/>
    </row>
    <row r="15" spans="1:5" x14ac:dyDescent="0.45">
      <c r="A15" s="1"/>
      <c r="B15" s="48" t="s">
        <v>20</v>
      </c>
      <c r="C15" s="10">
        <f>SUM(C8:C14)</f>
        <v>18099722.185587905</v>
      </c>
      <c r="D15" s="11" t="s">
        <v>3</v>
      </c>
      <c r="E15" s="1"/>
    </row>
    <row r="16" spans="1:5" x14ac:dyDescent="0.45">
      <c r="A16" s="1"/>
      <c r="B16" s="51" t="s">
        <v>12</v>
      </c>
      <c r="C16" s="52"/>
      <c r="D16" s="20"/>
      <c r="E16" s="1"/>
    </row>
    <row r="17" spans="1:5" ht="15" customHeight="1" x14ac:dyDescent="0.45">
      <c r="A17" s="1"/>
      <c r="B17" s="53" t="s">
        <v>12</v>
      </c>
      <c r="C17" s="10">
        <f>'Fane 6. Ikke-påvirkelige omk.'!C17*(1+'Fane 12. Nøgletal'!C14)^3</f>
        <v>8061484.8903018935</v>
      </c>
      <c r="D17" s="11" t="s">
        <v>3</v>
      </c>
      <c r="E17" s="1"/>
    </row>
    <row r="18" spans="1:5" ht="15" customHeight="1" x14ac:dyDescent="0.45">
      <c r="A18" s="1"/>
      <c r="B18" s="51" t="s">
        <v>89</v>
      </c>
      <c r="C18" s="52"/>
      <c r="D18" s="20"/>
      <c r="E18" s="1"/>
    </row>
    <row r="19" spans="1:5" ht="15" customHeight="1" x14ac:dyDescent="0.4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51" t="s">
        <v>161</v>
      </c>
      <c r="C22" s="52"/>
      <c r="D22" s="20"/>
      <c r="E22" s="1"/>
    </row>
    <row r="23" spans="1:5" x14ac:dyDescent="0.45">
      <c r="A23" s="1"/>
      <c r="B23" s="53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45">
      <c r="A24" s="1"/>
      <c r="B24" s="36" t="s">
        <v>224</v>
      </c>
      <c r="C24" s="52"/>
      <c r="D24" s="20"/>
      <c r="E24" s="1"/>
    </row>
    <row r="25" spans="1:5" x14ac:dyDescent="0.45">
      <c r="A25" s="1"/>
      <c r="B25" s="67" t="s">
        <v>225</v>
      </c>
      <c r="C25" s="10">
        <v>0</v>
      </c>
      <c r="D25" s="11" t="s">
        <v>3</v>
      </c>
      <c r="E25" s="1"/>
    </row>
    <row r="26" spans="1:5" x14ac:dyDescent="0.45">
      <c r="A26" s="1"/>
      <c r="B26" s="51" t="s">
        <v>189</v>
      </c>
      <c r="C26" s="12">
        <f>SUM(C15,C17,C21,C23,C25)</f>
        <v>26161207.0758898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aaM2a/RDeQ+prDPtdm6IfRhoA1hNCWDR8U8xdwLEiTSPILo+pUGIM1X8tuK72skEoToPwYCNCYHU6+t2MIkEhg==" saltValue="Du6EoMRkmefbGc7S9ocLq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7" t="s">
        <v>190</v>
      </c>
      <c r="C3" s="97"/>
      <c r="D3" s="97"/>
      <c r="E3" s="97"/>
      <c r="F3" s="97"/>
      <c r="G3" s="1"/>
    </row>
    <row r="4" spans="1:7" ht="29.25" customHeight="1" x14ac:dyDescent="0.45">
      <c r="A4" s="1"/>
      <c r="B4" s="97"/>
      <c r="C4" s="97"/>
      <c r="D4" s="97"/>
      <c r="E4" s="97"/>
      <c r="F4" s="9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1" t="s">
        <v>223</v>
      </c>
      <c r="C8" s="52"/>
      <c r="D8" s="52"/>
      <c r="E8" s="52"/>
      <c r="F8" s="20"/>
      <c r="G8" s="1"/>
    </row>
    <row r="9" spans="1:7" x14ac:dyDescent="0.45">
      <c r="A9" s="1"/>
      <c r="B9" s="98" t="s">
        <v>23</v>
      </c>
      <c r="C9" s="99"/>
      <c r="D9" s="100"/>
      <c r="E9" s="7">
        <v>19387079.878739733</v>
      </c>
      <c r="F9" s="8" t="s">
        <v>3</v>
      </c>
      <c r="G9" s="1"/>
    </row>
    <row r="10" spans="1:7" ht="15" customHeight="1" x14ac:dyDescent="0.45">
      <c r="A10" s="1"/>
      <c r="B10" s="91" t="s">
        <v>40</v>
      </c>
      <c r="C10" s="92"/>
      <c r="D10" s="93"/>
      <c r="E10" s="9">
        <v>0</v>
      </c>
      <c r="F10" s="8" t="s">
        <v>3</v>
      </c>
      <c r="G10" s="1"/>
    </row>
    <row r="11" spans="1:7" ht="15" customHeight="1" x14ac:dyDescent="0.45">
      <c r="A11" s="1"/>
      <c r="B11" s="91" t="s">
        <v>41</v>
      </c>
      <c r="C11" s="92"/>
      <c r="D11" s="93"/>
      <c r="E11" s="9">
        <v>0</v>
      </c>
      <c r="F11" s="8" t="s">
        <v>3</v>
      </c>
      <c r="G11" s="1"/>
    </row>
    <row r="12" spans="1:7" x14ac:dyDescent="0.45">
      <c r="A12" s="1"/>
      <c r="B12" s="91" t="s">
        <v>28</v>
      </c>
      <c r="C12" s="92"/>
      <c r="D12" s="93"/>
      <c r="E12" s="9">
        <v>0</v>
      </c>
      <c r="F12" s="8" t="s">
        <v>3</v>
      </c>
      <c r="G12" s="1"/>
    </row>
    <row r="13" spans="1:7" x14ac:dyDescent="0.45">
      <c r="A13" s="1"/>
      <c r="B13" s="91" t="s">
        <v>27</v>
      </c>
      <c r="C13" s="92"/>
      <c r="D13" s="93"/>
      <c r="E13" s="9">
        <v>0</v>
      </c>
      <c r="F13" s="8" t="s">
        <v>3</v>
      </c>
      <c r="G13" s="1"/>
    </row>
    <row r="14" spans="1:7" x14ac:dyDescent="0.45">
      <c r="A14" s="1"/>
      <c r="B14" s="91" t="s">
        <v>132</v>
      </c>
      <c r="C14" s="92"/>
      <c r="D14" s="93"/>
      <c r="E14" s="9">
        <v>0</v>
      </c>
      <c r="F14" s="8" t="s">
        <v>3</v>
      </c>
      <c r="G14" s="1"/>
    </row>
    <row r="15" spans="1:7" x14ac:dyDescent="0.45">
      <c r="A15" s="1"/>
      <c r="B15" s="91" t="s">
        <v>133</v>
      </c>
      <c r="C15" s="92"/>
      <c r="D15" s="93"/>
      <c r="E15" s="9">
        <v>0</v>
      </c>
      <c r="F15" s="8" t="s">
        <v>3</v>
      </c>
      <c r="G15" s="1"/>
    </row>
    <row r="16" spans="1:7" x14ac:dyDescent="0.45">
      <c r="A16" s="1"/>
      <c r="B16" s="91" t="s">
        <v>18</v>
      </c>
      <c r="C16" s="92"/>
      <c r="D16" s="93"/>
      <c r="E16" s="9">
        <v>236522.37452062475</v>
      </c>
      <c r="F16" s="8" t="s">
        <v>3</v>
      </c>
      <c r="G16" s="1"/>
    </row>
    <row r="17" spans="1:7" x14ac:dyDescent="0.45">
      <c r="A17" s="1"/>
      <c r="B17" s="91" t="s">
        <v>9</v>
      </c>
      <c r="C17" s="92"/>
      <c r="D17" s="93"/>
      <c r="E17" s="9">
        <v>0</v>
      </c>
      <c r="F17" s="8" t="s">
        <v>3</v>
      </c>
      <c r="G17" s="1"/>
    </row>
    <row r="18" spans="1:7" x14ac:dyDescent="0.45">
      <c r="A18" s="1"/>
      <c r="B18" s="91" t="s">
        <v>25</v>
      </c>
      <c r="C18" s="92"/>
      <c r="D18" s="93"/>
      <c r="E18" s="9">
        <v>-165026.51324228197</v>
      </c>
      <c r="F18" s="8" t="s">
        <v>3</v>
      </c>
      <c r="G18" s="1"/>
    </row>
    <row r="19" spans="1:7" x14ac:dyDescent="0.45">
      <c r="A19" s="1"/>
      <c r="B19" s="91" t="s">
        <v>26</v>
      </c>
      <c r="C19" s="92"/>
      <c r="D19" s="93"/>
      <c r="E19" s="9">
        <v>-323591.24675268907</v>
      </c>
      <c r="F19" s="8" t="s">
        <v>3</v>
      </c>
      <c r="G19" s="1"/>
    </row>
    <row r="20" spans="1:7" x14ac:dyDescent="0.45">
      <c r="A20" s="1"/>
      <c r="B20" s="104" t="s">
        <v>20</v>
      </c>
      <c r="C20" s="105"/>
      <c r="D20" s="106"/>
      <c r="E20" s="10">
        <f>SUM(E9:E19)</f>
        <v>19134984.493265387</v>
      </c>
      <c r="F20" s="11" t="s">
        <v>3</v>
      </c>
      <c r="G20" s="1"/>
    </row>
    <row r="21" spans="1:7" x14ac:dyDescent="0.45">
      <c r="A21" s="1"/>
      <c r="B21" s="51" t="s">
        <v>12</v>
      </c>
      <c r="C21" s="52"/>
      <c r="D21" s="52"/>
      <c r="E21" s="52"/>
      <c r="F21" s="20"/>
      <c r="G21" s="1"/>
    </row>
    <row r="22" spans="1:7" x14ac:dyDescent="0.45">
      <c r="A22" s="1"/>
      <c r="B22" s="94" t="s">
        <v>12</v>
      </c>
      <c r="C22" s="95"/>
      <c r="D22" s="96"/>
      <c r="E22" s="10">
        <v>8143992.2186758798</v>
      </c>
      <c r="F22" s="11" t="s">
        <v>3</v>
      </c>
      <c r="G22" s="1"/>
    </row>
    <row r="23" spans="1:7" ht="15" customHeight="1" x14ac:dyDescent="0.45">
      <c r="A23" s="1"/>
      <c r="B23" s="110" t="s">
        <v>89</v>
      </c>
      <c r="C23" s="111"/>
      <c r="D23" s="111"/>
      <c r="E23" s="52"/>
      <c r="F23" s="52"/>
      <c r="G23" s="1"/>
    </row>
    <row r="24" spans="1:7" ht="14.25" customHeight="1" x14ac:dyDescent="0.45">
      <c r="A24" s="1"/>
      <c r="B24" s="101" t="s">
        <v>85</v>
      </c>
      <c r="C24" s="102"/>
      <c r="D24" s="103"/>
      <c r="E24" s="9">
        <v>0</v>
      </c>
      <c r="F24" s="8" t="s">
        <v>3</v>
      </c>
      <c r="G24" s="1"/>
    </row>
    <row r="25" spans="1:7" ht="14.25" customHeight="1" x14ac:dyDescent="0.45">
      <c r="A25" s="1"/>
      <c r="B25" s="101" t="s">
        <v>86</v>
      </c>
      <c r="C25" s="102"/>
      <c r="D25" s="103"/>
      <c r="E25" s="9">
        <v>0</v>
      </c>
      <c r="F25" s="8" t="s">
        <v>3</v>
      </c>
      <c r="G25" s="1"/>
    </row>
    <row r="26" spans="1:7" x14ac:dyDescent="0.45">
      <c r="A26" s="1"/>
      <c r="B26" s="107" t="s">
        <v>90</v>
      </c>
      <c r="C26" s="108"/>
      <c r="D26" s="108"/>
      <c r="E26" s="10">
        <v>0</v>
      </c>
      <c r="F26" s="11" t="s">
        <v>3</v>
      </c>
      <c r="G26" s="1"/>
    </row>
    <row r="27" spans="1:7" x14ac:dyDescent="0.45">
      <c r="A27" s="1"/>
      <c r="B27" s="51" t="s">
        <v>161</v>
      </c>
      <c r="C27" s="52"/>
      <c r="D27" s="52"/>
      <c r="E27" s="52"/>
      <c r="F27" s="20"/>
      <c r="G27" s="1"/>
    </row>
    <row r="28" spans="1:7" ht="15" customHeight="1" x14ac:dyDescent="0.45">
      <c r="A28" s="1"/>
      <c r="B28" s="107" t="s">
        <v>162</v>
      </c>
      <c r="C28" s="108"/>
      <c r="D28" s="109"/>
      <c r="E28" s="10">
        <v>-273980</v>
      </c>
      <c r="F28" s="11" t="s">
        <v>3</v>
      </c>
      <c r="G28" s="1"/>
    </row>
    <row r="29" spans="1:7" x14ac:dyDescent="0.45">
      <c r="A29" s="1"/>
      <c r="B29" s="51" t="s">
        <v>247</v>
      </c>
      <c r="C29" s="52"/>
      <c r="D29" s="52"/>
      <c r="E29" s="52"/>
      <c r="F29" s="20"/>
      <c r="G29" s="1"/>
    </row>
    <row r="30" spans="1:7" ht="15.6" customHeight="1" x14ac:dyDescent="0.45">
      <c r="A30" s="1"/>
      <c r="B30" s="94" t="s">
        <v>248</v>
      </c>
      <c r="C30" s="95"/>
      <c r="D30" s="96"/>
      <c r="E30" s="10">
        <v>0</v>
      </c>
      <c r="F30" s="11" t="s">
        <v>3</v>
      </c>
      <c r="G30" s="1"/>
    </row>
    <row r="31" spans="1:7" x14ac:dyDescent="0.45">
      <c r="A31" s="1"/>
      <c r="B31" s="51" t="s">
        <v>29</v>
      </c>
      <c r="C31" s="52"/>
      <c r="D31" s="52"/>
      <c r="E31" s="12">
        <f>E20+E22+E26+E28+E30</f>
        <v>27004996.711941265</v>
      </c>
      <c r="F31" s="13" t="s">
        <v>3</v>
      </c>
      <c r="G31" s="1"/>
    </row>
    <row r="32" spans="1:7" ht="27.75" customHeight="1" x14ac:dyDescent="0.45">
      <c r="A32" s="1"/>
      <c r="B32" s="101" t="s">
        <v>191</v>
      </c>
      <c r="C32" s="102"/>
      <c r="D32" s="102"/>
      <c r="E32" s="102"/>
      <c r="F32" s="103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aQbKi0cu7kx8Rj8zDWb8VfDj2/aFAyXJMqJSJY4VTLVJ+Ui1Tvqk02wt21sHv6ADZvo3XnDmHNTpG1ZvGJfkiA==" saltValue="dwJnDXx9nvYAMRxkZr9Rzg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7.398437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97" t="s">
        <v>115</v>
      </c>
      <c r="C1" s="97"/>
      <c r="D1" s="97"/>
      <c r="E1" s="97"/>
      <c r="F1" s="97"/>
      <c r="G1" s="97"/>
      <c r="H1" s="97"/>
      <c r="I1" s="1"/>
    </row>
    <row r="2" spans="1:9" ht="15" customHeight="1" x14ac:dyDescent="0.45">
      <c r="A2" s="1"/>
      <c r="B2" s="97"/>
      <c r="C2" s="97"/>
      <c r="D2" s="97"/>
      <c r="E2" s="97"/>
      <c r="F2" s="97"/>
      <c r="G2" s="97"/>
      <c r="H2" s="97"/>
      <c r="I2" s="1"/>
    </row>
    <row r="3" spans="1:9" ht="15" customHeight="1" x14ac:dyDescent="0.45">
      <c r="A3" s="1"/>
      <c r="B3" s="97"/>
      <c r="C3" s="97"/>
      <c r="D3" s="97"/>
      <c r="E3" s="97"/>
      <c r="F3" s="97"/>
      <c r="G3" s="97"/>
      <c r="H3" s="97"/>
      <c r="I3" s="1"/>
    </row>
    <row r="4" spans="1:9" x14ac:dyDescent="0.45">
      <c r="A4" s="1"/>
      <c r="B4" s="112" t="s">
        <v>54</v>
      </c>
      <c r="C4" s="113"/>
      <c r="D4" s="113"/>
      <c r="E4" s="113"/>
      <c r="F4" s="113"/>
      <c r="G4" s="113"/>
      <c r="H4" s="114"/>
      <c r="I4" s="1"/>
    </row>
    <row r="5" spans="1:9" x14ac:dyDescent="0.45">
      <c r="A5" s="1"/>
      <c r="B5" s="115" t="s">
        <v>43</v>
      </c>
      <c r="C5" s="116"/>
      <c r="D5" s="116"/>
      <c r="E5" s="116"/>
      <c r="F5" s="117"/>
      <c r="G5" s="24">
        <v>8439482</v>
      </c>
      <c r="H5" s="14" t="s">
        <v>3</v>
      </c>
      <c r="I5" s="1"/>
    </row>
    <row r="6" spans="1:9" x14ac:dyDescent="0.45">
      <c r="A6" s="1"/>
      <c r="B6" s="115" t="s">
        <v>44</v>
      </c>
      <c r="C6" s="116"/>
      <c r="D6" s="116"/>
      <c r="E6" s="116"/>
      <c r="F6" s="117"/>
      <c r="G6" s="24">
        <f>G5*'Fane 12. Nøgletal'!C29</f>
        <v>168789.64</v>
      </c>
      <c r="H6" s="14" t="s">
        <v>3</v>
      </c>
      <c r="I6" s="1"/>
    </row>
    <row r="7" spans="1:9" x14ac:dyDescent="0.45">
      <c r="A7" s="1"/>
      <c r="B7" s="51"/>
      <c r="C7" s="52"/>
      <c r="D7" s="52"/>
      <c r="E7" s="52"/>
      <c r="F7" s="52"/>
      <c r="G7" s="5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112" t="s">
        <v>55</v>
      </c>
      <c r="C9" s="113"/>
      <c r="D9" s="113"/>
      <c r="E9" s="113"/>
      <c r="F9" s="113"/>
      <c r="G9" s="113"/>
      <c r="H9" s="114"/>
      <c r="I9" s="1"/>
    </row>
    <row r="10" spans="1:9" x14ac:dyDescent="0.45">
      <c r="A10" s="1"/>
      <c r="B10" s="115" t="s">
        <v>45</v>
      </c>
      <c r="C10" s="116"/>
      <c r="D10" s="116"/>
      <c r="E10" s="116"/>
      <c r="F10" s="117"/>
      <c r="G10" s="24">
        <f>(G5-G6)*(1+'Fane 12. Nøgletal'!C9)</f>
        <v>8375730.1529719997</v>
      </c>
      <c r="H10" s="14" t="s">
        <v>3</v>
      </c>
      <c r="I10" s="1"/>
    </row>
    <row r="11" spans="1:9" x14ac:dyDescent="0.45">
      <c r="A11" s="1"/>
      <c r="B11" s="118" t="s">
        <v>46</v>
      </c>
      <c r="C11" s="119"/>
      <c r="D11" s="119"/>
      <c r="E11" s="119"/>
      <c r="F11" s="120"/>
      <c r="G11" s="9">
        <v>0</v>
      </c>
      <c r="H11" s="14" t="s">
        <v>3</v>
      </c>
      <c r="I11" s="1"/>
    </row>
    <row r="12" spans="1:9" x14ac:dyDescent="0.45">
      <c r="A12" s="1"/>
      <c r="B12" s="115" t="s">
        <v>47</v>
      </c>
      <c r="C12" s="116"/>
      <c r="D12" s="116"/>
      <c r="E12" s="116"/>
      <c r="F12" s="117"/>
      <c r="G12" s="24">
        <f>(G10+G11)*'Fane 12. Nøgletal'!C29</f>
        <v>167514.60305944001</v>
      </c>
      <c r="H12" s="14" t="s">
        <v>3</v>
      </c>
      <c r="I12" s="1"/>
    </row>
    <row r="13" spans="1:9" x14ac:dyDescent="0.45">
      <c r="A13" s="1"/>
      <c r="B13" s="51"/>
      <c r="C13" s="52"/>
      <c r="D13" s="52"/>
      <c r="E13" s="52"/>
      <c r="F13" s="52"/>
      <c r="G13" s="52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12" t="s">
        <v>56</v>
      </c>
      <c r="C15" s="113"/>
      <c r="D15" s="113"/>
      <c r="E15" s="113"/>
      <c r="F15" s="113"/>
      <c r="G15" s="113"/>
      <c r="H15" s="114"/>
      <c r="I15" s="1"/>
    </row>
    <row r="16" spans="1:9" x14ac:dyDescent="0.45">
      <c r="A16" s="1"/>
      <c r="B16" s="115" t="s">
        <v>48</v>
      </c>
      <c r="C16" s="116"/>
      <c r="D16" s="116"/>
      <c r="E16" s="116"/>
      <c r="F16" s="117"/>
      <c r="G16" s="24">
        <f>(G10+G11-G12)*(1+'Fane 12. Nøgletal'!C11)</f>
        <v>8346934.3927060813</v>
      </c>
      <c r="H16" s="14" t="s">
        <v>3</v>
      </c>
      <c r="I16" s="1"/>
    </row>
    <row r="17" spans="1:9" x14ac:dyDescent="0.45">
      <c r="A17" s="1"/>
      <c r="B17" s="115" t="s">
        <v>125</v>
      </c>
      <c r="C17" s="116"/>
      <c r="D17" s="116"/>
      <c r="E17" s="116"/>
      <c r="F17" s="117"/>
      <c r="G17" s="9">
        <v>-6.7408042735799742E-2</v>
      </c>
      <c r="H17" s="14" t="s">
        <v>3</v>
      </c>
      <c r="I17" s="1"/>
    </row>
    <row r="18" spans="1:9" x14ac:dyDescent="0.45">
      <c r="A18" s="1"/>
      <c r="B18" s="118" t="s">
        <v>49</v>
      </c>
      <c r="C18" s="119"/>
      <c r="D18" s="119"/>
      <c r="E18" s="119"/>
      <c r="F18" s="120"/>
      <c r="G18" s="9">
        <v>0</v>
      </c>
      <c r="H18" s="14" t="s">
        <v>3</v>
      </c>
      <c r="I18" s="1"/>
    </row>
    <row r="19" spans="1:9" x14ac:dyDescent="0.45">
      <c r="A19" s="1"/>
      <c r="B19" s="115" t="s">
        <v>50</v>
      </c>
      <c r="C19" s="116"/>
      <c r="D19" s="116"/>
      <c r="E19" s="116"/>
      <c r="F19" s="117"/>
      <c r="G19" s="24">
        <f>SUM(G16:G18)*'Fane 12. Nøgletal'!C29</f>
        <v>166938.68650596077</v>
      </c>
      <c r="H19" s="14" t="s">
        <v>3</v>
      </c>
      <c r="I19" s="1"/>
    </row>
    <row r="20" spans="1:9" x14ac:dyDescent="0.45">
      <c r="A20" s="1"/>
      <c r="B20" s="51"/>
      <c r="C20" s="52"/>
      <c r="D20" s="52"/>
      <c r="E20" s="52"/>
      <c r="F20" s="52"/>
      <c r="G20" s="5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12" t="s">
        <v>57</v>
      </c>
      <c r="C22" s="113"/>
      <c r="D22" s="113"/>
      <c r="E22" s="113"/>
      <c r="F22" s="113"/>
      <c r="G22" s="113"/>
      <c r="H22" s="114"/>
      <c r="I22" s="1"/>
    </row>
    <row r="23" spans="1:9" x14ac:dyDescent="0.45">
      <c r="A23" s="1"/>
      <c r="B23" s="115" t="s">
        <v>51</v>
      </c>
      <c r="C23" s="116"/>
      <c r="D23" s="116"/>
      <c r="E23" s="116"/>
      <c r="F23" s="117"/>
      <c r="G23" s="24">
        <f>(SUM(G16:G18)-G19)*(1+'Fane 12. Nøgletal'!C11)</f>
        <v>8318237.5650876621</v>
      </c>
      <c r="H23" s="14" t="s">
        <v>3</v>
      </c>
      <c r="I23" s="1"/>
    </row>
    <row r="24" spans="1:9" x14ac:dyDescent="0.45">
      <c r="A24" s="1"/>
      <c r="B24" s="118" t="s">
        <v>52</v>
      </c>
      <c r="C24" s="119"/>
      <c r="D24" s="119"/>
      <c r="E24" s="119"/>
      <c r="F24" s="120"/>
      <c r="G24" s="9">
        <v>0</v>
      </c>
      <c r="H24" s="14" t="s">
        <v>3</v>
      </c>
      <c r="I24" s="1"/>
    </row>
    <row r="25" spans="1:9" x14ac:dyDescent="0.45">
      <c r="A25" s="1"/>
      <c r="B25" s="115" t="s">
        <v>53</v>
      </c>
      <c r="C25" s="116"/>
      <c r="D25" s="116"/>
      <c r="E25" s="116"/>
      <c r="F25" s="117"/>
      <c r="G25" s="24">
        <f>(G23+G24)*'Fane 12. Nøgletal'!C29</f>
        <v>166364.75130175325</v>
      </c>
      <c r="H25" s="14" t="s">
        <v>3</v>
      </c>
      <c r="I25" s="1"/>
    </row>
    <row r="26" spans="1:9" x14ac:dyDescent="0.45">
      <c r="A26" s="1"/>
      <c r="B26" s="51"/>
      <c r="C26" s="52"/>
      <c r="D26" s="52"/>
      <c r="E26" s="52"/>
      <c r="F26" s="52"/>
      <c r="G26" s="5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12" t="s">
        <v>175</v>
      </c>
      <c r="C28" s="113"/>
      <c r="D28" s="113"/>
      <c r="E28" s="113"/>
      <c r="F28" s="113"/>
      <c r="G28" s="113"/>
      <c r="H28" s="114"/>
      <c r="I28" s="1"/>
    </row>
    <row r="29" spans="1:9" x14ac:dyDescent="0.45">
      <c r="A29" s="1"/>
      <c r="B29" s="115" t="s">
        <v>60</v>
      </c>
      <c r="C29" s="116"/>
      <c r="D29" s="116"/>
      <c r="E29" s="116"/>
      <c r="F29" s="117"/>
      <c r="G29" s="24">
        <f>(G23+G24-G25)*(1+'Fane 12. Nøgletal'!C13)</f>
        <v>8251325.6621140968</v>
      </c>
      <c r="H29" s="14" t="s">
        <v>3</v>
      </c>
      <c r="I29" s="1"/>
    </row>
    <row r="30" spans="1:9" x14ac:dyDescent="0.45">
      <c r="A30" s="1"/>
      <c r="B30" s="115" t="s">
        <v>147</v>
      </c>
      <c r="C30" s="116"/>
      <c r="D30" s="116"/>
      <c r="E30" s="116"/>
      <c r="F30" s="117"/>
      <c r="G30" s="9">
        <f>SUM('Fane 3. Omkostninger i ØR2021'!E10,'Fane 3. Omkostninger i ØR2021'!E12,'Fane 3. Omkostninger i ØR2021'!E14)*(1+'Fane 12. Nøgletal'!C13)</f>
        <v>0</v>
      </c>
      <c r="H30" s="14" t="s">
        <v>3</v>
      </c>
      <c r="I30" s="1"/>
    </row>
    <row r="31" spans="1:9" x14ac:dyDescent="0.45">
      <c r="A31" s="1"/>
      <c r="B31" s="115" t="s">
        <v>159</v>
      </c>
      <c r="C31" s="116"/>
      <c r="D31" s="116"/>
      <c r="E31" s="116"/>
      <c r="F31" s="117"/>
      <c r="G31" s="24">
        <f>(G29+G30)*'Fane 12. Nøgletal'!C29</f>
        <v>165026.51324228194</v>
      </c>
      <c r="H31" s="14" t="s">
        <v>3</v>
      </c>
      <c r="I31" s="1"/>
    </row>
    <row r="32" spans="1:9" x14ac:dyDescent="0.45">
      <c r="A32" s="1"/>
      <c r="B32" s="51"/>
      <c r="C32" s="52"/>
      <c r="D32" s="52"/>
      <c r="E32" s="52"/>
      <c r="F32" s="52"/>
      <c r="G32" s="5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12" t="s">
        <v>176</v>
      </c>
      <c r="C34" s="113"/>
      <c r="D34" s="113"/>
      <c r="E34" s="113"/>
      <c r="F34" s="113"/>
      <c r="G34" s="113"/>
      <c r="H34" s="114"/>
      <c r="I34" s="1"/>
    </row>
    <row r="35" spans="1:9" x14ac:dyDescent="0.45">
      <c r="A35" s="1"/>
      <c r="B35" s="115" t="s">
        <v>80</v>
      </c>
      <c r="C35" s="116"/>
      <c r="D35" s="116"/>
      <c r="E35" s="116"/>
      <c r="F35" s="117"/>
      <c r="G35" s="24">
        <f>(G29+G30-G31)*(1+'Fane 12. Nøgletal'!C13)</f>
        <v>8184951.9984880509</v>
      </c>
      <c r="H35" s="14" t="s">
        <v>3</v>
      </c>
      <c r="I35" s="1"/>
    </row>
    <row r="36" spans="1:9" x14ac:dyDescent="0.45">
      <c r="A36" s="1"/>
      <c r="B36" s="37" t="s">
        <v>192</v>
      </c>
      <c r="C36" s="58"/>
      <c r="D36" s="58"/>
      <c r="E36" s="58"/>
      <c r="F36" s="59"/>
      <c r="G36" s="9">
        <f>SUM('Fane 2.1. Økonomisk ramme 2022'!C10)*(1+'Fane 12. Nøgletal'!C14)</f>
        <v>0</v>
      </c>
      <c r="H36" s="14" t="s">
        <v>3</v>
      </c>
      <c r="I36" s="1"/>
    </row>
    <row r="37" spans="1:9" x14ac:dyDescent="0.45">
      <c r="A37" s="1"/>
      <c r="B37" s="115" t="s">
        <v>221</v>
      </c>
      <c r="C37" s="116"/>
      <c r="D37" s="116"/>
      <c r="E37" s="116"/>
      <c r="F37" s="117"/>
      <c r="G37" s="9">
        <f>SUM('Fane 2.1. Økonomisk ramme 2022'!C12,'Fane 2.1. Økonomisk ramme 2022'!C14,'Fane 2.1. Økonomisk ramme 2022'!C16)*(1+'Fane 12. Nøgletal'!C14)</f>
        <v>0</v>
      </c>
      <c r="H37" s="14" t="s">
        <v>3</v>
      </c>
      <c r="I37" s="1"/>
    </row>
    <row r="38" spans="1:9" x14ac:dyDescent="0.45">
      <c r="A38" s="1"/>
      <c r="B38" s="115" t="s">
        <v>177</v>
      </c>
      <c r="C38" s="116"/>
      <c r="D38" s="116"/>
      <c r="E38" s="116"/>
      <c r="F38" s="117"/>
      <c r="G38" s="24">
        <f>(G35+G37)*'Fane 12. Nøgletal'!C29</f>
        <v>163699.03996976101</v>
      </c>
      <c r="H38" s="14" t="s">
        <v>3</v>
      </c>
      <c r="I38" s="1"/>
    </row>
    <row r="39" spans="1:9" x14ac:dyDescent="0.45">
      <c r="A39" s="1"/>
      <c r="B39" s="51"/>
      <c r="C39" s="52"/>
      <c r="D39" s="52"/>
      <c r="E39" s="52"/>
      <c r="F39" s="52"/>
      <c r="G39" s="52"/>
      <c r="H39" s="20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12" t="s">
        <v>81</v>
      </c>
      <c r="C41" s="113"/>
      <c r="D41" s="113"/>
      <c r="E41" s="113"/>
      <c r="F41" s="113"/>
      <c r="G41" s="113"/>
      <c r="H41" s="114"/>
      <c r="I41" s="1"/>
    </row>
    <row r="42" spans="1:9" x14ac:dyDescent="0.45">
      <c r="A42" s="1"/>
      <c r="B42" s="115" t="s">
        <v>79</v>
      </c>
      <c r="C42" s="116"/>
      <c r="D42" s="116"/>
      <c r="E42" s="116"/>
      <c r="F42" s="117"/>
      <c r="G42" s="24">
        <f>(G35+G37-G38)*(1+'Fane 12. Nøgletal'!C14)</f>
        <v>8047723.0932814013</v>
      </c>
      <c r="H42" s="14" t="s">
        <v>3</v>
      </c>
      <c r="I42" s="1"/>
    </row>
    <row r="43" spans="1:9" x14ac:dyDescent="0.45">
      <c r="A43" s="1"/>
      <c r="B43" s="115" t="s">
        <v>92</v>
      </c>
      <c r="C43" s="116"/>
      <c r="D43" s="116"/>
      <c r="E43" s="116"/>
      <c r="F43" s="117"/>
      <c r="G43" s="9">
        <f>-'Fane 11. Bortfald'!C19*(1+'Fane 12. Nøgletal'!C14)</f>
        <v>0</v>
      </c>
      <c r="H43" s="14" t="s">
        <v>3</v>
      </c>
      <c r="I43" s="1"/>
    </row>
    <row r="44" spans="1:9" x14ac:dyDescent="0.45">
      <c r="A44" s="1"/>
      <c r="B44" s="115" t="s">
        <v>61</v>
      </c>
      <c r="C44" s="116"/>
      <c r="D44" s="116"/>
      <c r="E44" s="116"/>
      <c r="F44" s="117"/>
      <c r="G44" s="24">
        <f>(G42+G43)*'Fane 12. Nøgletal'!C29</f>
        <v>160954.46186562802</v>
      </c>
      <c r="H44" s="14" t="s">
        <v>3</v>
      </c>
      <c r="I44" s="1"/>
    </row>
    <row r="45" spans="1:9" x14ac:dyDescent="0.45">
      <c r="A45" s="1"/>
      <c r="B45" s="51"/>
      <c r="C45" s="52"/>
      <c r="D45" s="52"/>
      <c r="E45" s="52"/>
      <c r="F45" s="52"/>
      <c r="G45" s="5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12" t="s">
        <v>148</v>
      </c>
      <c r="C47" s="113"/>
      <c r="D47" s="113"/>
      <c r="E47" s="113"/>
      <c r="F47" s="113"/>
      <c r="G47" s="113"/>
      <c r="H47" s="114"/>
      <c r="I47" s="1"/>
    </row>
    <row r="48" spans="1:9" x14ac:dyDescent="0.45">
      <c r="A48" s="1"/>
      <c r="B48" s="115" t="s">
        <v>149</v>
      </c>
      <c r="C48" s="116"/>
      <c r="D48" s="116"/>
      <c r="E48" s="116"/>
      <c r="F48" s="117"/>
      <c r="G48" s="24">
        <f>(G42+G43-G44)*(1+'Fane 12. Nøgletal'!C14)</f>
        <v>7912794.9678994454</v>
      </c>
      <c r="H48" s="14" t="s">
        <v>3</v>
      </c>
      <c r="I48" s="1"/>
    </row>
    <row r="49" spans="1:9" x14ac:dyDescent="0.45">
      <c r="A49" s="1"/>
      <c r="B49" s="115" t="s">
        <v>150</v>
      </c>
      <c r="C49" s="116"/>
      <c r="D49" s="116"/>
      <c r="E49" s="116"/>
      <c r="F49" s="117"/>
      <c r="G49" s="9">
        <f>-'Fane 11. Bortfald'!C26*(1+'Fane 12. Nøgletal'!C14)</f>
        <v>0</v>
      </c>
      <c r="H49" s="14" t="s">
        <v>3</v>
      </c>
      <c r="I49" s="1"/>
    </row>
    <row r="50" spans="1:9" x14ac:dyDescent="0.45">
      <c r="A50" s="1"/>
      <c r="B50" s="115" t="s">
        <v>151</v>
      </c>
      <c r="C50" s="116"/>
      <c r="D50" s="116"/>
      <c r="E50" s="116"/>
      <c r="F50" s="117"/>
      <c r="G50" s="24">
        <f>(G48+G49)*'Fane 12. Nøgletal'!C29</f>
        <v>158255.89935798891</v>
      </c>
      <c r="H50" s="14" t="s">
        <v>3</v>
      </c>
      <c r="I50" s="1"/>
    </row>
    <row r="51" spans="1:9" x14ac:dyDescent="0.45">
      <c r="A51" s="1"/>
      <c r="B51" s="51"/>
      <c r="C51" s="52"/>
      <c r="D51" s="52"/>
      <c r="E51" s="52"/>
      <c r="F51" s="52"/>
      <c r="G51" s="52"/>
      <c r="H51" s="20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5">
      <c r="A53" s="1"/>
      <c r="B53" s="112" t="s">
        <v>198</v>
      </c>
      <c r="C53" s="113"/>
      <c r="D53" s="113"/>
      <c r="E53" s="113"/>
      <c r="F53" s="113"/>
      <c r="G53" s="113"/>
      <c r="H53" s="114"/>
      <c r="I53" s="1"/>
    </row>
    <row r="54" spans="1:9" x14ac:dyDescent="0.45">
      <c r="A54" s="1"/>
      <c r="B54" s="115" t="s">
        <v>199</v>
      </c>
      <c r="C54" s="116"/>
      <c r="D54" s="116"/>
      <c r="E54" s="116"/>
      <c r="F54" s="117"/>
      <c r="G54" s="24">
        <f>(G48+G49-G50)*(1+'Fane 12. Nøgletal'!C14)</f>
        <v>7780129.0474676443</v>
      </c>
      <c r="H54" s="14" t="s">
        <v>3</v>
      </c>
      <c r="I54" s="1"/>
    </row>
    <row r="55" spans="1:9" x14ac:dyDescent="0.45">
      <c r="A55" s="1"/>
      <c r="B55" s="115" t="s">
        <v>200</v>
      </c>
      <c r="C55" s="116"/>
      <c r="D55" s="116"/>
      <c r="E55" s="116"/>
      <c r="F55" s="117"/>
      <c r="G55" s="9">
        <f>-'Fane 11. Bortfald'!C33*(1+'Fane 12. Nøgletal'!C14)</f>
        <v>0</v>
      </c>
      <c r="H55" s="14" t="s">
        <v>3</v>
      </c>
      <c r="I55" s="1"/>
    </row>
    <row r="56" spans="1:9" x14ac:dyDescent="0.45">
      <c r="A56" s="1"/>
      <c r="B56" s="115" t="s">
        <v>201</v>
      </c>
      <c r="C56" s="116"/>
      <c r="D56" s="116"/>
      <c r="E56" s="116"/>
      <c r="F56" s="117"/>
      <c r="G56" s="24">
        <f>(G54+G55)*'Fane 12. Nøgletal'!C29</f>
        <v>155602.58094935288</v>
      </c>
      <c r="H56" s="14" t="s">
        <v>3</v>
      </c>
      <c r="I56" s="1"/>
    </row>
    <row r="57" spans="1:9" x14ac:dyDescent="0.45">
      <c r="A57" s="1"/>
      <c r="B57" s="51"/>
      <c r="C57" s="52"/>
      <c r="D57" s="52"/>
      <c r="E57" s="52"/>
      <c r="F57" s="52"/>
      <c r="G57" s="52"/>
      <c r="H57" s="20"/>
      <c r="I57" s="1"/>
    </row>
  </sheetData>
  <sheetProtection algorithmName="SHA-512" hashValue="6MXdkDROsYYYomawB9ZGFSTmb9iM2tFkh5dbUmTdZkLftX93sGU6iEsi4DhiMUEd1bc9A+cr9oea6gqakceXHw==" saltValue="ZO5Zvh2rFAnaYuteX2WeXQ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61"/>
  <sheetViews>
    <sheetView showGridLines="0" view="pageLayout" zoomScaleNormal="12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9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4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4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45">
      <c r="A4" s="1"/>
      <c r="B4" s="112" t="s">
        <v>58</v>
      </c>
      <c r="C4" s="113"/>
      <c r="D4" s="113"/>
      <c r="E4" s="113"/>
      <c r="F4" s="113"/>
      <c r="G4" s="113"/>
      <c r="H4" s="114"/>
      <c r="I4" s="1"/>
    </row>
    <row r="5" spans="1:9" x14ac:dyDescent="0.45">
      <c r="A5" s="1"/>
      <c r="B5" s="115" t="s">
        <v>62</v>
      </c>
      <c r="C5" s="116"/>
      <c r="D5" s="116"/>
      <c r="E5" s="116"/>
      <c r="F5" s="117"/>
      <c r="G5" s="24">
        <v>11804814</v>
      </c>
      <c r="H5" s="14" t="s">
        <v>3</v>
      </c>
      <c r="I5" s="1"/>
    </row>
    <row r="6" spans="1:9" x14ac:dyDescent="0.45">
      <c r="A6" s="1"/>
      <c r="B6" s="115" t="s">
        <v>59</v>
      </c>
      <c r="C6" s="116"/>
      <c r="D6" s="116"/>
      <c r="E6" s="116"/>
      <c r="F6" s="117"/>
      <c r="G6" s="24">
        <f>G5*'Fane 12. Nøgletal'!C19</f>
        <v>107423.80740000001</v>
      </c>
      <c r="H6" s="14" t="s">
        <v>3</v>
      </c>
      <c r="I6" s="1"/>
    </row>
    <row r="7" spans="1:9" x14ac:dyDescent="0.45">
      <c r="A7" s="1"/>
      <c r="B7" s="51"/>
      <c r="C7" s="52"/>
      <c r="D7" s="52"/>
      <c r="E7" s="52"/>
      <c r="F7" s="52"/>
      <c r="G7" s="5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112" t="s">
        <v>63</v>
      </c>
      <c r="C9" s="113"/>
      <c r="D9" s="113"/>
      <c r="E9" s="113"/>
      <c r="F9" s="113"/>
      <c r="G9" s="113"/>
      <c r="H9" s="114"/>
      <c r="I9" s="1"/>
    </row>
    <row r="10" spans="1:9" x14ac:dyDescent="0.45">
      <c r="A10" s="1"/>
      <c r="B10" s="115" t="s">
        <v>64</v>
      </c>
      <c r="C10" s="116"/>
      <c r="D10" s="116"/>
      <c r="E10" s="116"/>
      <c r="F10" s="117"/>
      <c r="G10" s="24">
        <f>(G5-G6)*(1+'Fane 12. Nøgletal'!C9)</f>
        <v>11845947.048046021</v>
      </c>
      <c r="H10" s="14" t="s">
        <v>3</v>
      </c>
      <c r="I10" s="1"/>
    </row>
    <row r="11" spans="1:9" x14ac:dyDescent="0.45">
      <c r="A11" s="1"/>
      <c r="B11" s="118" t="s">
        <v>65</v>
      </c>
      <c r="C11" s="119"/>
      <c r="D11" s="119"/>
      <c r="E11" s="119"/>
      <c r="F11" s="120"/>
      <c r="G11" s="9">
        <v>0</v>
      </c>
      <c r="H11" s="14" t="s">
        <v>3</v>
      </c>
      <c r="I11" s="1"/>
    </row>
    <row r="12" spans="1:9" x14ac:dyDescent="0.45">
      <c r="A12" s="1"/>
      <c r="B12" s="115" t="s">
        <v>66</v>
      </c>
      <c r="C12" s="116"/>
      <c r="D12" s="116"/>
      <c r="E12" s="116"/>
      <c r="F12" s="117"/>
      <c r="G12" s="24">
        <f>G10*'Fane 12. Nøgletal'!C19+G11*'Fane 12. Nøgletal'!C20</f>
        <v>107798.1181372188</v>
      </c>
      <c r="H12" s="14" t="s">
        <v>3</v>
      </c>
      <c r="I12" s="1"/>
    </row>
    <row r="13" spans="1:9" x14ac:dyDescent="0.45">
      <c r="A13" s="1"/>
      <c r="B13" s="51"/>
      <c r="C13" s="52"/>
      <c r="D13" s="52"/>
      <c r="E13" s="52"/>
      <c r="F13" s="52"/>
      <c r="G13" s="52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12" t="s">
        <v>67</v>
      </c>
      <c r="C15" s="113"/>
      <c r="D15" s="113"/>
      <c r="E15" s="113"/>
      <c r="F15" s="113"/>
      <c r="G15" s="113"/>
      <c r="H15" s="114"/>
      <c r="I15" s="1"/>
    </row>
    <row r="16" spans="1:9" x14ac:dyDescent="0.45">
      <c r="A16" s="1"/>
      <c r="B16" s="115" t="s">
        <v>68</v>
      </c>
      <c r="C16" s="116"/>
      <c r="D16" s="116"/>
      <c r="E16" s="116"/>
      <c r="F16" s="117"/>
      <c r="G16" s="24">
        <f>(G10+G11-G12)*(1+'Fane 12. Nøgletal'!C11)</f>
        <v>11936523.646824261</v>
      </c>
      <c r="H16" s="14" t="s">
        <v>3</v>
      </c>
      <c r="I16" s="1"/>
    </row>
    <row r="17" spans="1:9" x14ac:dyDescent="0.45">
      <c r="A17" s="1"/>
      <c r="B17" s="115" t="s">
        <v>126</v>
      </c>
      <c r="C17" s="116"/>
      <c r="D17" s="116"/>
      <c r="E17" s="116"/>
      <c r="F17" s="117"/>
      <c r="G17" s="24">
        <v>-303053.52458544972</v>
      </c>
      <c r="H17" s="14" t="s">
        <v>3</v>
      </c>
      <c r="I17" s="1"/>
    </row>
    <row r="18" spans="1:9" x14ac:dyDescent="0.45">
      <c r="A18" s="1"/>
      <c r="B18" s="118" t="s">
        <v>69</v>
      </c>
      <c r="C18" s="119"/>
      <c r="D18" s="119"/>
      <c r="E18" s="119"/>
      <c r="F18" s="120"/>
      <c r="G18" s="9">
        <v>0</v>
      </c>
      <c r="H18" s="14" t="s">
        <v>3</v>
      </c>
      <c r="I18" s="1"/>
    </row>
    <row r="19" spans="1:9" x14ac:dyDescent="0.45">
      <c r="A19" s="1"/>
      <c r="B19" s="115" t="s">
        <v>70</v>
      </c>
      <c r="C19" s="116"/>
      <c r="D19" s="116"/>
      <c r="E19" s="116"/>
      <c r="F19" s="117"/>
      <c r="G19" s="24">
        <f>(G16+G17+G18)*'Fane 12. Nøgletal'!C21</f>
        <v>101211.19006347765</v>
      </c>
      <c r="H19" s="14" t="s">
        <v>3</v>
      </c>
      <c r="I19" s="1"/>
    </row>
    <row r="20" spans="1:9" x14ac:dyDescent="0.45">
      <c r="A20" s="1"/>
      <c r="B20" s="51"/>
      <c r="C20" s="52"/>
      <c r="D20" s="52"/>
      <c r="E20" s="52"/>
      <c r="F20" s="52"/>
      <c r="G20" s="5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12" t="s">
        <v>71</v>
      </c>
      <c r="C22" s="113"/>
      <c r="D22" s="113"/>
      <c r="E22" s="113"/>
      <c r="F22" s="113"/>
      <c r="G22" s="113"/>
      <c r="H22" s="114"/>
      <c r="I22" s="1"/>
    </row>
    <row r="23" spans="1:9" x14ac:dyDescent="0.45">
      <c r="A23" s="1"/>
      <c r="B23" s="115" t="s">
        <v>72</v>
      </c>
      <c r="C23" s="116"/>
      <c r="D23" s="116"/>
      <c r="E23" s="116"/>
      <c r="F23" s="117"/>
      <c r="G23" s="24">
        <f>(SUM(G16:G18)-G19)*(1+'Fane 12. Nøgletal'!C11)</f>
        <v>11727154.108129095</v>
      </c>
      <c r="H23" s="14" t="s">
        <v>3</v>
      </c>
      <c r="I23" s="1"/>
    </row>
    <row r="24" spans="1:9" x14ac:dyDescent="0.45">
      <c r="A24" s="1"/>
      <c r="B24" s="118" t="s">
        <v>73</v>
      </c>
      <c r="C24" s="119"/>
      <c r="D24" s="119"/>
      <c r="E24" s="119"/>
      <c r="F24" s="120"/>
      <c r="G24" s="9">
        <v>0</v>
      </c>
      <c r="H24" s="14" t="s">
        <v>3</v>
      </c>
      <c r="I24" s="1"/>
    </row>
    <row r="25" spans="1:9" x14ac:dyDescent="0.45">
      <c r="A25" s="1"/>
      <c r="B25" s="115" t="s">
        <v>74</v>
      </c>
      <c r="C25" s="116"/>
      <c r="D25" s="116"/>
      <c r="E25" s="116"/>
      <c r="F25" s="117"/>
      <c r="G25" s="24">
        <f>G23*'Fane 12. Nøgletal'!C21+G24*'Fane 12. Nøgletal'!C22</f>
        <v>102026.24074072312</v>
      </c>
      <c r="H25" s="14" t="s">
        <v>3</v>
      </c>
      <c r="I25" s="1"/>
    </row>
    <row r="26" spans="1:9" x14ac:dyDescent="0.45">
      <c r="A26" s="1"/>
      <c r="B26" s="51"/>
      <c r="C26" s="52"/>
      <c r="D26" s="52"/>
      <c r="E26" s="52"/>
      <c r="F26" s="52"/>
      <c r="G26" s="5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12" t="s">
        <v>173</v>
      </c>
      <c r="C28" s="113"/>
      <c r="D28" s="113"/>
      <c r="E28" s="113"/>
      <c r="F28" s="113"/>
      <c r="G28" s="113"/>
      <c r="H28" s="114"/>
      <c r="I28" s="1"/>
    </row>
    <row r="29" spans="1:9" x14ac:dyDescent="0.45">
      <c r="A29" s="1"/>
      <c r="B29" s="115" t="s">
        <v>75</v>
      </c>
      <c r="C29" s="116"/>
      <c r="D29" s="116"/>
      <c r="E29" s="116"/>
      <c r="F29" s="117"/>
      <c r="G29" s="24">
        <f>(G23+G24-G25)*(1+'Fane 12. Nøgletal'!C13)</f>
        <v>11766954.427370509</v>
      </c>
      <c r="H29" s="14" t="s">
        <v>3</v>
      </c>
      <c r="I29" s="1"/>
    </row>
    <row r="30" spans="1:9" x14ac:dyDescent="0.45">
      <c r="A30" s="1"/>
      <c r="B30" s="115" t="s">
        <v>152</v>
      </c>
      <c r="C30" s="116"/>
      <c r="D30" s="116"/>
      <c r="E30" s="116"/>
      <c r="F30" s="117"/>
      <c r="G30" s="9">
        <v>0</v>
      </c>
      <c r="H30" s="14" t="s">
        <v>3</v>
      </c>
      <c r="I30" s="1"/>
    </row>
    <row r="31" spans="1:9" x14ac:dyDescent="0.45">
      <c r="A31" s="1"/>
      <c r="B31" s="115" t="s">
        <v>174</v>
      </c>
      <c r="C31" s="116"/>
      <c r="D31" s="116"/>
      <c r="E31" s="116"/>
      <c r="F31" s="117"/>
      <c r="G31" s="24">
        <f>(G29+G30)*'Fane 12. Nøgletal'!C23</f>
        <v>323591.24675268901</v>
      </c>
      <c r="H31" s="14" t="s">
        <v>3</v>
      </c>
      <c r="I31" s="1"/>
    </row>
    <row r="32" spans="1:9" x14ac:dyDescent="0.45">
      <c r="A32" s="1"/>
      <c r="B32" s="51"/>
      <c r="C32" s="52"/>
      <c r="D32" s="52"/>
      <c r="E32" s="52"/>
      <c r="F32" s="52"/>
      <c r="G32" s="5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12" t="s">
        <v>178</v>
      </c>
      <c r="C34" s="113"/>
      <c r="D34" s="113"/>
      <c r="E34" s="113"/>
      <c r="F34" s="113"/>
      <c r="G34" s="113"/>
      <c r="H34" s="114"/>
      <c r="I34" s="1"/>
    </row>
    <row r="35" spans="1:9" x14ac:dyDescent="0.45">
      <c r="A35" s="1"/>
      <c r="B35" s="115" t="s">
        <v>78</v>
      </c>
      <c r="C35" s="116"/>
      <c r="D35" s="116"/>
      <c r="E35" s="116"/>
      <c r="F35" s="117"/>
      <c r="G35" s="24">
        <f>(G29+G30-G31)*(1+'Fane 12. Nøgletal'!C13)</f>
        <v>11582972.211421357</v>
      </c>
      <c r="H35" s="14" t="s">
        <v>3</v>
      </c>
      <c r="I35" s="1"/>
    </row>
    <row r="36" spans="1:9" s="41" customFormat="1" x14ac:dyDescent="0.4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0</v>
      </c>
      <c r="H36" s="14" t="s">
        <v>3</v>
      </c>
      <c r="I36" s="38"/>
    </row>
    <row r="37" spans="1:9" x14ac:dyDescent="0.45">
      <c r="A37" s="1"/>
      <c r="B37" s="115" t="s">
        <v>193</v>
      </c>
      <c r="C37" s="116"/>
      <c r="D37" s="116"/>
      <c r="E37" s="116"/>
      <c r="F37" s="117"/>
      <c r="G37" s="9">
        <f>SUM('Fane 2.1. Økonomisk ramme 2022'!C13,'Fane 2.1. Økonomisk ramme 2022'!C15,'Fane 2.1. Økonomisk ramme 2022'!C17)*(1+'Fane 12. Nøgletal'!C14)</f>
        <v>0</v>
      </c>
      <c r="H37" s="14" t="s">
        <v>3</v>
      </c>
      <c r="I37" s="1"/>
    </row>
    <row r="38" spans="1:9" x14ac:dyDescent="0.45">
      <c r="A38" s="1"/>
      <c r="B38" s="115" t="s">
        <v>179</v>
      </c>
      <c r="C38" s="116"/>
      <c r="D38" s="116"/>
      <c r="E38" s="116"/>
      <c r="F38" s="117"/>
      <c r="G38" s="24">
        <f>G35*'Fane 12. Nøgletal'!C23+G37*'Fane 12. Nøgletal'!C24</f>
        <v>318531.73581408733</v>
      </c>
      <c r="H38" s="14" t="s">
        <v>3</v>
      </c>
      <c r="I38" s="1"/>
    </row>
    <row r="39" spans="1:9" x14ac:dyDescent="0.45">
      <c r="A39" s="1"/>
      <c r="B39" s="51"/>
      <c r="C39" s="52"/>
      <c r="D39" s="52"/>
      <c r="E39" s="52"/>
      <c r="F39" s="52"/>
      <c r="G39" s="52"/>
      <c r="H39" s="20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12" t="s">
        <v>82</v>
      </c>
      <c r="C41" s="113"/>
      <c r="D41" s="113"/>
      <c r="E41" s="113"/>
      <c r="F41" s="113"/>
      <c r="G41" s="113"/>
      <c r="H41" s="114"/>
      <c r="I41" s="1"/>
    </row>
    <row r="42" spans="1:9" x14ac:dyDescent="0.45">
      <c r="A42" s="1"/>
      <c r="B42" s="115" t="s">
        <v>77</v>
      </c>
      <c r="C42" s="116"/>
      <c r="D42" s="116"/>
      <c r="E42" s="116"/>
      <c r="F42" s="117"/>
      <c r="G42" s="24">
        <f>(G35+G37-G38)*(1+'Fane 12. Nøgletal'!C14)</f>
        <v>11301613.129176775</v>
      </c>
      <c r="H42" s="14" t="s">
        <v>3</v>
      </c>
      <c r="I42" s="1"/>
    </row>
    <row r="43" spans="1:9" x14ac:dyDescent="0.45">
      <c r="A43" s="1"/>
      <c r="B43" s="115" t="s">
        <v>96</v>
      </c>
      <c r="C43" s="116"/>
      <c r="D43" s="116"/>
      <c r="E43" s="116"/>
      <c r="F43" s="117"/>
      <c r="G43" s="9">
        <f>-'Fane 11. Bortfald'!E19*(1+'Fane 12. Nøgletal'!C14)</f>
        <v>0</v>
      </c>
      <c r="H43" s="14" t="s">
        <v>3</v>
      </c>
      <c r="I43" s="1"/>
    </row>
    <row r="44" spans="1:9" x14ac:dyDescent="0.45">
      <c r="A44" s="1"/>
      <c r="B44" s="115" t="s">
        <v>76</v>
      </c>
      <c r="C44" s="116"/>
      <c r="D44" s="116"/>
      <c r="E44" s="116"/>
      <c r="F44" s="117"/>
      <c r="G44" s="24">
        <f>(G42+G43)*'Fane 12. Nøgletal'!C24</f>
        <v>167263.87431181627</v>
      </c>
      <c r="H44" s="14" t="s">
        <v>3</v>
      </c>
      <c r="I44" s="1"/>
    </row>
    <row r="45" spans="1:9" x14ac:dyDescent="0.45">
      <c r="A45" s="1"/>
      <c r="B45" s="51"/>
      <c r="C45" s="52"/>
      <c r="D45" s="52"/>
      <c r="E45" s="52"/>
      <c r="F45" s="52"/>
      <c r="G45" s="5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12" t="s">
        <v>153</v>
      </c>
      <c r="C51" s="113"/>
      <c r="D51" s="113"/>
      <c r="E51" s="113"/>
      <c r="F51" s="113"/>
      <c r="G51" s="113"/>
      <c r="H51" s="114"/>
      <c r="I51" s="1"/>
    </row>
    <row r="52" spans="1:9" x14ac:dyDescent="0.45">
      <c r="A52" s="1"/>
      <c r="B52" s="115" t="s">
        <v>154</v>
      </c>
      <c r="C52" s="116"/>
      <c r="D52" s="116"/>
      <c r="E52" s="116"/>
      <c r="F52" s="117"/>
      <c r="G52" s="24">
        <f>(G42+G43-G44)*(1+'Fane 12. Nøgletal'!C14)</f>
        <v>11171092.607406015</v>
      </c>
      <c r="H52" s="14" t="s">
        <v>3</v>
      </c>
      <c r="I52" s="1"/>
    </row>
    <row r="53" spans="1:9" x14ac:dyDescent="0.45">
      <c r="A53" s="1"/>
      <c r="B53" s="115" t="s">
        <v>155</v>
      </c>
      <c r="C53" s="116"/>
      <c r="D53" s="116"/>
      <c r="E53" s="116"/>
      <c r="F53" s="117"/>
      <c r="G53" s="9">
        <f>-'Fane 11. Bortfald'!E26*(1+'Fane 12. Nøgletal'!C13)</f>
        <v>0</v>
      </c>
      <c r="H53" s="14" t="s">
        <v>3</v>
      </c>
      <c r="I53" s="1"/>
    </row>
    <row r="54" spans="1:9" x14ac:dyDescent="0.45">
      <c r="A54" s="1"/>
      <c r="B54" s="115" t="s">
        <v>156</v>
      </c>
      <c r="C54" s="116"/>
      <c r="D54" s="116"/>
      <c r="E54" s="116"/>
      <c r="F54" s="117"/>
      <c r="G54" s="24">
        <f>(G52+G53)*'Fane 12. Nøgletal'!C24</f>
        <v>165332.17058960901</v>
      </c>
      <c r="H54" s="14" t="s">
        <v>3</v>
      </c>
      <c r="I54" s="1"/>
    </row>
    <row r="55" spans="1:9" x14ac:dyDescent="0.45">
      <c r="A55" s="1"/>
      <c r="B55" s="51"/>
      <c r="C55" s="52"/>
      <c r="D55" s="52"/>
      <c r="E55" s="52"/>
      <c r="F55" s="52"/>
      <c r="G55" s="52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5">
      <c r="A57" s="1"/>
      <c r="B57" s="112" t="s">
        <v>194</v>
      </c>
      <c r="C57" s="113"/>
      <c r="D57" s="113"/>
      <c r="E57" s="113"/>
      <c r="F57" s="113"/>
      <c r="G57" s="113"/>
      <c r="H57" s="114"/>
      <c r="I57" s="1"/>
    </row>
    <row r="58" spans="1:9" x14ac:dyDescent="0.45">
      <c r="A58" s="1"/>
      <c r="B58" s="115" t="s">
        <v>195</v>
      </c>
      <c r="C58" s="116"/>
      <c r="D58" s="116"/>
      <c r="E58" s="116"/>
      <c r="F58" s="117"/>
      <c r="G58" s="24">
        <f>(G52+G53-G54)*(1+'Fane 12. Nøgletal'!C14)</f>
        <v>11042079.4462579</v>
      </c>
      <c r="H58" s="14" t="s">
        <v>3</v>
      </c>
      <c r="I58" s="1"/>
    </row>
    <row r="59" spans="1:9" x14ac:dyDescent="0.45">
      <c r="A59" s="1"/>
      <c r="B59" s="115" t="s">
        <v>196</v>
      </c>
      <c r="C59" s="116"/>
      <c r="D59" s="116"/>
      <c r="E59" s="116"/>
      <c r="F59" s="117"/>
      <c r="G59" s="9">
        <f>-'Fane 11. Bortfald'!E33*(1+'Fane 12. Nøgletal'!C14)</f>
        <v>0</v>
      </c>
      <c r="H59" s="14" t="s">
        <v>3</v>
      </c>
      <c r="I59" s="1"/>
    </row>
    <row r="60" spans="1:9" x14ac:dyDescent="0.45">
      <c r="A60" s="1"/>
      <c r="B60" s="115" t="s">
        <v>197</v>
      </c>
      <c r="C60" s="116"/>
      <c r="D60" s="116"/>
      <c r="E60" s="116"/>
      <c r="F60" s="117"/>
      <c r="G60" s="24">
        <f>(G58+G59)*'Fane 12. Nøgletal'!C24</f>
        <v>163422.77580461695</v>
      </c>
      <c r="H60" s="14" t="s">
        <v>3</v>
      </c>
      <c r="I60" s="1"/>
    </row>
    <row r="61" spans="1:9" x14ac:dyDescent="0.45">
      <c r="A61" s="1"/>
      <c r="B61" s="51"/>
      <c r="C61" s="52"/>
      <c r="D61" s="52"/>
      <c r="E61" s="52"/>
      <c r="F61" s="52"/>
      <c r="G61" s="52"/>
      <c r="H61" s="20"/>
      <c r="I61" s="1"/>
    </row>
  </sheetData>
  <sheetProtection algorithmName="SHA-512" hashValue="VCwAg0fSCx+V/fa9Zdiwa9octtKaTQtWoc23u/wQgE/nEV94yj2Uiil1Q9d9IsVT7+lZuosr+hDV1ztXBpJw4A==" saltValue="fucda9+htsZXDErsKViAlw==" spinCount="100000" sheet="1" objects="1" scenarios="1"/>
  <mergeCells count="37">
    <mergeCell ref="B1:H3"/>
    <mergeCell ref="B52:F52"/>
    <mergeCell ref="B53:F53"/>
    <mergeCell ref="B54:F54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51:H51"/>
    <mergeCell ref="B28:H28"/>
    <mergeCell ref="B29:F29"/>
    <mergeCell ref="B31:F31"/>
    <mergeCell ref="B34:H34"/>
    <mergeCell ref="B22:H22"/>
    <mergeCell ref="B23:F23"/>
    <mergeCell ref="B24:F24"/>
    <mergeCell ref="B25:F25"/>
    <mergeCell ref="B57:H57"/>
    <mergeCell ref="B58:F58"/>
    <mergeCell ref="B59:F59"/>
    <mergeCell ref="B60:F60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4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12" t="s">
        <v>9</v>
      </c>
      <c r="C8" s="113"/>
      <c r="D8" s="113"/>
      <c r="E8" s="113"/>
      <c r="F8" s="113"/>
      <c r="G8" s="113"/>
      <c r="H8" s="114"/>
      <c r="I8" s="1"/>
    </row>
    <row r="9" spans="1:9" x14ac:dyDescent="0.45">
      <c r="A9" s="1"/>
      <c r="B9" s="115" t="s">
        <v>105</v>
      </c>
      <c r="C9" s="116"/>
      <c r="D9" s="116"/>
      <c r="E9" s="116"/>
      <c r="F9" s="117"/>
      <c r="G9" s="44">
        <v>3.3972545931982606E-3</v>
      </c>
      <c r="H9" s="14"/>
      <c r="I9" s="1"/>
    </row>
    <row r="10" spans="1:9" x14ac:dyDescent="0.45">
      <c r="A10" s="1"/>
      <c r="B10" s="115" t="s">
        <v>141</v>
      </c>
      <c r="C10" s="116"/>
      <c r="D10" s="116"/>
      <c r="E10" s="116"/>
      <c r="F10" s="117"/>
      <c r="G10" s="44">
        <v>0</v>
      </c>
      <c r="H10" s="14"/>
      <c r="I10" s="1"/>
    </row>
    <row r="11" spans="1:9" x14ac:dyDescent="0.45">
      <c r="A11" s="1"/>
      <c r="B11" s="51"/>
      <c r="C11" s="52"/>
      <c r="D11" s="52"/>
      <c r="E11" s="52"/>
      <c r="F11" s="52"/>
      <c r="G11" s="52"/>
      <c r="H11" s="20"/>
      <c r="I11" s="1"/>
    </row>
    <row r="12" spans="1:9" ht="14.25" customHeight="1" x14ac:dyDescent="0.45">
      <c r="A12" s="1"/>
      <c r="B12" s="124" t="s">
        <v>191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4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j+r3LsKzSiWSwkeAtt3rTNooNzPUwXaVmTsXzJHqHXiOOiXpUByGkoNdjYFsyuM/Xw0UgjkR/vCydzMN7keY/g==" saltValue="8OM5o7Ab+6dnYeVELAMBoA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2021-09-08T21:15:59Z</dcterms:modified>
</cp:coreProperties>
</file>