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OFOR Vand Hvidovre AS (V090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E12" i="32" l="1"/>
  <c r="E35" i="32" l="1"/>
  <c r="E30" i="32"/>
  <c r="E26" i="32" l="1"/>
  <c r="E37" i="32" s="1"/>
  <c r="C23" i="23" l="1"/>
  <c r="C23" i="22"/>
  <c r="C24" i="15"/>
  <c r="C30" i="2"/>
  <c r="C15" i="19"/>
  <c r="C11" i="29" l="1"/>
  <c r="C12" i="29" s="1"/>
  <c r="G30" i="30"/>
  <c r="C11" i="2" l="1"/>
  <c r="G36" i="36" s="1"/>
  <c r="C10" i="2"/>
  <c r="G36" i="30" s="1"/>
  <c r="E10" i="11" l="1"/>
  <c r="G6" i="30" l="1"/>
  <c r="G10" i="30" s="1"/>
  <c r="E32" i="21" l="1"/>
  <c r="E33" i="21" s="1"/>
  <c r="G55" i="36" s="1"/>
  <c r="C32" i="21"/>
  <c r="C33" i="21" s="1"/>
  <c r="G55" i="30" s="1"/>
  <c r="E25" i="21"/>
  <c r="E26" i="21" s="1"/>
  <c r="G49" i="36" s="1"/>
  <c r="C25" i="21"/>
  <c r="C26" i="21" s="1"/>
  <c r="G49" i="30" s="1"/>
  <c r="E18" i="21"/>
  <c r="E19" i="21" s="1"/>
  <c r="G43" i="36" s="1"/>
  <c r="C18" i="21"/>
  <c r="C19" i="21" s="1"/>
  <c r="G43" i="30" s="1"/>
  <c r="C11" i="15" l="1"/>
  <c r="C10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C20" i="22" s="1"/>
  <c r="E38" i="39"/>
  <c r="C20" i="23" s="1"/>
  <c r="E14" i="39"/>
  <c r="C27" i="2" s="1"/>
  <c r="E22" i="39"/>
  <c r="C21" i="15" s="1"/>
  <c r="C19" i="23"/>
  <c r="C19" i="22"/>
  <c r="C20" i="15"/>
  <c r="C26" i="2"/>
  <c r="C21" i="22" l="1"/>
  <c r="C21" i="23"/>
  <c r="C22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5" i="30" s="1"/>
  <c r="G31" i="36"/>
  <c r="G35" i="36" s="1"/>
  <c r="F11" i="11"/>
  <c r="G11" i="11"/>
  <c r="C10" i="37" l="1"/>
  <c r="C11" i="37" s="1"/>
  <c r="C12" i="37" s="1"/>
  <c r="C12" i="2" s="1"/>
  <c r="E11" i="21"/>
  <c r="E12" i="21" s="1"/>
  <c r="C11" i="21"/>
  <c r="C12" i="21" s="1"/>
  <c r="E11" i="29"/>
  <c r="E12" i="29" s="1"/>
  <c r="C16" i="19" l="1"/>
  <c r="C16" i="2"/>
  <c r="C17" i="2"/>
  <c r="C15" i="2"/>
  <c r="C14" i="2"/>
  <c r="C24" i="2" l="1"/>
  <c r="C17" i="22"/>
  <c r="C17" i="23"/>
  <c r="C18" i="15"/>
  <c r="G37" i="30"/>
  <c r="G38" i="30" s="1"/>
  <c r="E11" i="11"/>
  <c r="E10" i="37" l="1"/>
  <c r="E11" i="37" s="1"/>
  <c r="E12" i="37" s="1"/>
  <c r="C13" i="2" s="1"/>
  <c r="G37" i="36" s="1"/>
  <c r="G38" i="36" l="1"/>
  <c r="G42" i="36" s="1"/>
  <c r="G44" i="36" s="1"/>
  <c r="C20" i="2"/>
  <c r="G42" i="30" l="1"/>
  <c r="G44" i="30" s="1"/>
  <c r="C14" i="15" s="1"/>
  <c r="E20" i="27"/>
  <c r="E31" i="27" s="1"/>
  <c r="C9" i="2" l="1"/>
  <c r="C18" i="2" s="1"/>
  <c r="C19" i="2" s="1"/>
  <c r="G48" i="30"/>
  <c r="G50" i="30" s="1"/>
  <c r="C21" i="2"/>
  <c r="C15" i="15"/>
  <c r="C22" i="2" l="1"/>
  <c r="G54" i="30"/>
  <c r="G56" i="30" s="1"/>
  <c r="C13" i="23" s="1"/>
  <c r="C13" i="22"/>
  <c r="G48" i="36"/>
  <c r="G50" i="36" s="1"/>
  <c r="C14" i="22" s="1"/>
  <c r="G54" i="36" l="1"/>
  <c r="G56" i="36" s="1"/>
  <c r="C14" i="23" s="1"/>
  <c r="C9" i="15"/>
  <c r="C12" i="15" l="1"/>
  <c r="C13" i="15" s="1"/>
  <c r="C16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7" i="15" l="1"/>
</calcChain>
</file>

<file path=xl/sharedStrings.xml><?xml version="1.0" encoding="utf-8"?>
<sst xmlns="http://schemas.openxmlformats.org/spreadsheetml/2006/main" count="619" uniqueCount="254">
  <si>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</si>
  <si>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</si>
  <si>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</si>
  <si>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</si>
  <si>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</si>
  <si>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</si>
  <si>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</si>
  <si>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</si>
  <si>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</si>
  <si>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</si>
  <si>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</si>
  <si>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</si>
  <si>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</si>
  <si>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</si>
  <si>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</si>
  <si>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</si>
  <si>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</si>
  <si>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</si>
  <si>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</si>
  <si>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</si>
  <si>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</si>
  <si>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</si>
  <si>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</si>
  <si>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</si>
  <si>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</si>
  <si>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</si>
  <si>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</si>
  <si>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</si>
  <si>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</si>
  <si>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</si>
  <si>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</si>
  <si>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</si>
  <si>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</si>
  <si>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</si>
  <si>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</si>
  <si>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</si>
  <si>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</si>
  <si>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</si>
  <si>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</si>
  <si>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</si>
  <si>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</si>
  <si>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</si>
  <si>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</si>
  <si>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</si>
  <si>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</si>
  <si>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</si>
  <si>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</si>
  <si>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</si>
  <si>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</si>
  <si>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</si>
  <si>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</si>
  <si>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</si>
  <si>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</si>
  <si>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</si>
  <si>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</si>
  <si>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</si>
  <si>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</si>
  <si>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</si>
  <si>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</si>
  <si>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</si>
  <si>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</si>
  <si>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</si>
  <si>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</si>
  <si>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</si>
  <si>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</si>
  <si>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</si>
  <si>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</si>
  <si>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</si>
  <si>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</si>
  <si>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</si>
  <si>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</si>
  <si>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</si>
  <si>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</si>
  <si>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</si>
  <si>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</si>
  <si>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</si>
  <si>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</si>
  <si>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</si>
  <si>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</si>
  <si>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</si>
  <si>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</si>
  <si>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</si>
  <si>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</si>
  <si>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</si>
  <si>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</si>
  <si>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</si>
  <si>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</si>
  <si>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</si>
  <si>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</si>
  <si>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</si>
  <si>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</si>
  <si>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</si>
  <si>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</si>
  <si>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</si>
  <si>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</si>
  <si>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</si>
  <si>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</si>
  <si>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</si>
  <si>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</si>
  <si>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</si>
  <si>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</si>
  <si>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</si>
  <si>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</si>
  <si>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</si>
  <si>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</si>
  <si>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</si>
  <si>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</si>
  <si>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</si>
  <si>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</si>
  <si>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</si>
  <si>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</si>
  <si>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</si>
  <si>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</si>
  <si>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</si>
  <si>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</si>
  <si>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</si>
  <si>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</si>
  <si>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</si>
  <si>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</si>
  <si>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</si>
  <si>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</si>
  <si>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</si>
  <si>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</si>
  <si>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</si>
  <si>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</si>
  <si>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</si>
  <si>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</si>
  <si>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</si>
  <si>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</si>
  <si>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</si>
  <si>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</si>
  <si>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</si>
  <si>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</si>
  <si>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</si>
  <si>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</si>
  <si>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</si>
  <si>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</si>
  <si>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</si>
  <si>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</si>
  <si>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</si>
  <si>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</si>
  <si>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</si>
  <si>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</si>
  <si>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</si>
  <si>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</si>
  <si>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</si>
  <si>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</si>
  <si>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</si>
  <si>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</si>
  <si>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</si>
  <si>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</si>
  <si>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</si>
  <si>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</si>
  <si>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</si>
  <si>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</si>
  <si>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</si>
  <si>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</si>
  <si>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</si>
  <si>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</si>
  <si>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</si>
  <si>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</si>
  <si>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</si>
  <si>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</si>
  <si>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</si>
  <si>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</si>
  <si>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</si>
  <si>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</si>
  <si>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</si>
  <si>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</si>
  <si>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</si>
  <si>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</si>
  <si>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</si>
  <si>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</si>
  <si>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</si>
  <si>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</si>
  <si>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</si>
  <si>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</si>
  <si>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</si>
  <si>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</si>
  <si>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</si>
  <si>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</si>
  <si>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</si>
  <si>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</si>
  <si>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</si>
  <si>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</si>
  <si>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</si>
  <si>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</si>
  <si>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</si>
  <si>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</si>
  <si>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</si>
  <si>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</si>
  <si>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</si>
  <si>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</si>
  <si>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</si>
  <si>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</si>
  <si>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</si>
  <si>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</si>
  <si>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</si>
  <si>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</si>
  <si>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</si>
  <si>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</si>
  <si>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</si>
  <si>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</si>
  <si>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</si>
  <si>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</si>
  <si>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</si>
  <si>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</si>
  <si>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</si>
  <si>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</si>
  <si>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</si>
  <si>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</si>
  <si>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</si>
  <si>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</si>
  <si>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</si>
  <si>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</si>
  <si>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</si>
  <si>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</si>
  <si>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</si>
  <si>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</si>
  <si>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</si>
  <si>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</si>
  <si>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</si>
  <si>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</si>
  <si>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</si>
  <si>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</si>
  <si>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</si>
  <si>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Ingen tilknyttet virksomhed</t>
  </si>
  <si>
    <t>Afgift for ledningsført vand</t>
  </si>
  <si>
    <t>Afgift til Forsyningssekretariatet</t>
  </si>
  <si>
    <t>Køb af produkter og ydelser fra andre vandselskaber reguleret af vandsektorloven</t>
  </si>
  <si>
    <t>Ejendomsskat</t>
  </si>
  <si>
    <t>Tjenestemandspensioner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</si>
  <si>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</si>
  <si>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</si>
  <si>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</si>
  <si>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</si>
  <si>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</si>
  <si>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</si>
  <si>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</si>
  <si>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</si>
  <si>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</si>
  <si>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</si>
  <si>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</si>
  <si>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</si>
  <si>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</si>
  <si>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</si>
  <si>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Ingen engangstillæg</t>
  </si>
  <si>
    <t>Korrektion af tidligere rammer</t>
  </si>
  <si>
    <t>Engangskorrektion vedrørende erstatninger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</si>
  <si>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</si>
  <si>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</si>
  <si>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</si>
  <si>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Ingen anlægsprojekter</t>
  </si>
  <si>
    <t>Til statusmeddelelse for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</si>
</sst>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3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8" xfId="0" applyBorder="1" applyAlignment="1" applyProtection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  <sheetName val="Ark2"/>
      <sheetName val="Ark1"/>
    </sheetNames>
    <sheetDataSet>
      <sheetData sheetId="0"/>
      <sheetData sheetId="1">
        <row r="1">
          <cell r="A1" t="str">
            <v>ØR 2022-2025 samt statusmeddelelser</v>
          </cell>
        </row>
      </sheetData>
      <sheetData sheetId="2">
        <row r="1">
          <cell r="A1" t="str">
            <v>ØR 2021-2024 samt statusmeddelelser</v>
          </cell>
        </row>
      </sheetData>
      <sheetData sheetId="3">
        <row r="1">
          <cell r="A1" t="str">
            <v>ØR 2020-2023 samt statusmeddelelser</v>
          </cell>
        </row>
      </sheetData>
      <sheetData sheetId="4">
        <row r="1">
          <cell r="A1" t="str">
            <v>ØR 2019-2022 samt statusmeddelelser</v>
          </cell>
        </row>
      </sheetData>
      <sheetData sheetId="5">
        <row r="1">
          <cell r="B1" t="str">
            <v>ØR 2018-2021 samt statusmeddelelser</v>
          </cell>
        </row>
      </sheetData>
      <sheetData sheetId="6">
        <row r="1">
          <cell r="A1" t="str">
            <v>AABBABAABBB[</v>
          </cell>
        </row>
      </sheetData>
      <sheetData sheetId="7">
        <row r="5">
          <cell r="C5">
            <v>1.0168999999999999</v>
          </cell>
        </row>
      </sheetData>
      <sheetData sheetId="8"/>
      <sheetData sheetId="9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2" t="s">
        <v>4</v>
      </c>
      <c r="E6" s="82"/>
      <c r="F6" s="82"/>
      <c r="G6" s="82"/>
      <c r="H6" s="3"/>
      <c r="I6" s="1"/>
    </row>
    <row r="7" spans="1:9" ht="15" customHeight="1" x14ac:dyDescent="0.25">
      <c r="A7" s="1"/>
      <c r="B7" s="1"/>
      <c r="C7" s="3"/>
      <c r="D7" s="82"/>
      <c r="E7" s="82"/>
      <c r="F7" s="82"/>
      <c r="G7" s="82"/>
      <c r="H7" s="3"/>
      <c r="I7" s="1"/>
    </row>
    <row r="8" spans="1:9" ht="15.75" x14ac:dyDescent="0.25">
      <c r="A8" s="1"/>
      <c r="B8" s="1"/>
      <c r="C8" s="4"/>
      <c r="D8" s="84" t="s">
        <v>253</v>
      </c>
      <c r="E8" s="84"/>
      <c r="F8" s="84"/>
      <c r="G8" s="8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3" t="s">
        <v>5</v>
      </c>
      <c r="E11" s="83"/>
      <c r="F11" s="83"/>
      <c r="G11" s="8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9" t="s">
        <v>163</v>
      </c>
      <c r="E13" s="80"/>
      <c r="F13" s="80"/>
      <c r="G13" s="81"/>
      <c r="H13" s="1"/>
      <c r="I13" s="1"/>
    </row>
    <row r="14" spans="1:9" x14ac:dyDescent="0.25">
      <c r="A14" s="1"/>
      <c r="B14" s="1"/>
      <c r="C14" s="6" t="s">
        <v>15</v>
      </c>
      <c r="D14" s="79" t="s">
        <v>83</v>
      </c>
      <c r="E14" s="80"/>
      <c r="F14" s="80"/>
      <c r="G14" s="81"/>
      <c r="H14" s="1"/>
      <c r="I14" s="1"/>
    </row>
    <row r="15" spans="1:9" x14ac:dyDescent="0.25">
      <c r="A15" s="1"/>
      <c r="B15" s="1"/>
      <c r="C15" s="6" t="s">
        <v>35</v>
      </c>
      <c r="D15" s="79" t="s">
        <v>128</v>
      </c>
      <c r="E15" s="80"/>
      <c r="F15" s="80"/>
      <c r="G15" s="81"/>
      <c r="H15" s="1"/>
      <c r="I15" s="1"/>
    </row>
    <row r="16" spans="1:9" x14ac:dyDescent="0.25">
      <c r="A16" s="1"/>
      <c r="B16" s="1"/>
      <c r="C16" s="6" t="s">
        <v>36</v>
      </c>
      <c r="D16" s="79" t="s">
        <v>180</v>
      </c>
      <c r="E16" s="80"/>
      <c r="F16" s="80"/>
      <c r="G16" s="81"/>
      <c r="H16" s="1"/>
      <c r="I16" s="1"/>
    </row>
    <row r="17" spans="1:9" x14ac:dyDescent="0.25">
      <c r="A17" s="1"/>
      <c r="B17" s="1"/>
      <c r="C17" s="6" t="s">
        <v>127</v>
      </c>
      <c r="D17" s="79" t="s">
        <v>181</v>
      </c>
      <c r="E17" s="80"/>
      <c r="F17" s="80"/>
      <c r="G17" s="81"/>
      <c r="H17" s="1"/>
      <c r="I17" s="1"/>
    </row>
    <row r="18" spans="1:9" x14ac:dyDescent="0.25">
      <c r="A18" s="1"/>
      <c r="B18" s="1"/>
      <c r="C18" s="32" t="s">
        <v>111</v>
      </c>
      <c r="D18" s="85" t="s">
        <v>100</v>
      </c>
      <c r="E18" s="86"/>
      <c r="F18" s="86"/>
      <c r="G18" s="87"/>
      <c r="H18" s="1"/>
      <c r="I18" s="1"/>
    </row>
    <row r="19" spans="1:9" x14ac:dyDescent="0.25">
      <c r="A19" s="1"/>
      <c r="B19" s="1"/>
      <c r="C19" s="32" t="s">
        <v>112</v>
      </c>
      <c r="D19" s="85" t="s">
        <v>101</v>
      </c>
      <c r="E19" s="86"/>
      <c r="F19" s="86"/>
      <c r="G19" s="87"/>
      <c r="H19" s="1"/>
      <c r="I19" s="1"/>
    </row>
    <row r="20" spans="1:9" x14ac:dyDescent="0.25">
      <c r="A20" s="1"/>
      <c r="B20" s="1"/>
      <c r="C20" s="32" t="s">
        <v>7</v>
      </c>
      <c r="D20" s="85" t="s">
        <v>9</v>
      </c>
      <c r="E20" s="86"/>
      <c r="F20" s="86"/>
      <c r="G20" s="87"/>
      <c r="H20" s="1"/>
      <c r="I20" s="1"/>
    </row>
    <row r="21" spans="1:9" x14ac:dyDescent="0.25">
      <c r="A21" s="1"/>
      <c r="B21" s="1"/>
      <c r="C21" s="6" t="s">
        <v>113</v>
      </c>
      <c r="D21" s="76" t="s">
        <v>12</v>
      </c>
      <c r="E21" s="77"/>
      <c r="F21" s="77"/>
      <c r="G21" s="78"/>
      <c r="H21" s="1"/>
      <c r="I21" s="1"/>
    </row>
    <row r="22" spans="1:9" x14ac:dyDescent="0.25">
      <c r="A22" s="1"/>
      <c r="B22" s="1"/>
      <c r="C22" s="6" t="s">
        <v>87</v>
      </c>
      <c r="D22" s="70" t="s">
        <v>182</v>
      </c>
      <c r="E22" s="71"/>
      <c r="F22" s="71"/>
      <c r="G22" s="72"/>
      <c r="H22" s="1"/>
      <c r="I22" s="1"/>
    </row>
    <row r="23" spans="1:9" x14ac:dyDescent="0.25">
      <c r="A23" s="1"/>
      <c r="B23" s="1"/>
      <c r="C23" s="6" t="s">
        <v>8</v>
      </c>
      <c r="D23" s="70" t="s">
        <v>37</v>
      </c>
      <c r="E23" s="71"/>
      <c r="F23" s="71"/>
      <c r="G23" s="72"/>
      <c r="H23" s="1"/>
      <c r="I23" s="1"/>
    </row>
    <row r="24" spans="1:9" x14ac:dyDescent="0.25">
      <c r="A24" s="1"/>
      <c r="B24" s="1"/>
      <c r="C24" s="6" t="s">
        <v>170</v>
      </c>
      <c r="D24" s="70" t="s">
        <v>88</v>
      </c>
      <c r="E24" s="71"/>
      <c r="F24" s="71"/>
      <c r="G24" s="72"/>
      <c r="H24" s="1"/>
      <c r="I24" s="1"/>
    </row>
    <row r="25" spans="1:9" x14ac:dyDescent="0.25">
      <c r="A25" s="1"/>
      <c r="B25" s="1"/>
      <c r="C25" s="6" t="s">
        <v>171</v>
      </c>
      <c r="D25" s="70" t="s">
        <v>89</v>
      </c>
      <c r="E25" s="71"/>
      <c r="F25" s="71"/>
      <c r="G25" s="72"/>
      <c r="H25" s="1"/>
      <c r="I25" s="1"/>
    </row>
    <row r="26" spans="1:9" x14ac:dyDescent="0.25">
      <c r="A26" s="1"/>
      <c r="B26" s="1"/>
      <c r="C26" s="6" t="s">
        <v>172</v>
      </c>
      <c r="D26" s="70" t="s">
        <v>129</v>
      </c>
      <c r="E26" s="71"/>
      <c r="F26" s="71"/>
      <c r="G26" s="72"/>
      <c r="H26" s="1"/>
      <c r="I26" s="1"/>
    </row>
    <row r="27" spans="1:9" x14ac:dyDescent="0.25">
      <c r="A27" s="1"/>
      <c r="B27" s="1"/>
      <c r="C27" s="6" t="s">
        <v>114</v>
      </c>
      <c r="D27" s="70" t="s">
        <v>38</v>
      </c>
      <c r="E27" s="71"/>
      <c r="F27" s="71"/>
      <c r="G27" s="72"/>
      <c r="H27" s="1"/>
      <c r="I27" s="1"/>
    </row>
    <row r="28" spans="1:9" x14ac:dyDescent="0.25">
      <c r="A28" s="1"/>
      <c r="B28" s="1"/>
      <c r="C28" s="6" t="s">
        <v>108</v>
      </c>
      <c r="D28" s="73" t="s">
        <v>109</v>
      </c>
      <c r="E28" s="74"/>
      <c r="F28" s="74"/>
      <c r="G28" s="75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vshuf+kuOiqPkuMWpJXe+vfsPqPQs2TR8XspWT/I7+O18Nxq7gAT4NcEjdst5NFH6uNcBm+hucMfRkqYz2wwfA==" saltValue="52OBgNqfr3RKoDHzPB2jgA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8" t="s">
        <v>117</v>
      </c>
      <c r="C3" s="88"/>
      <c r="D3" s="88"/>
      <c r="E3" s="1"/>
      <c r="F3" s="1"/>
    </row>
    <row r="4" spans="1:6" ht="15" customHeight="1" x14ac:dyDescent="0.25">
      <c r="A4" s="1"/>
      <c r="B4" s="88"/>
      <c r="C4" s="88"/>
      <c r="D4" s="88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1" t="s">
        <v>202</v>
      </c>
      <c r="C8" s="112"/>
      <c r="D8" s="113"/>
      <c r="E8" s="1"/>
      <c r="F8" s="1"/>
    </row>
    <row r="9" spans="1:6" ht="15" customHeight="1" x14ac:dyDescent="0.25">
      <c r="A9" s="1"/>
      <c r="B9" s="47" t="s">
        <v>33</v>
      </c>
      <c r="C9" s="11" t="s">
        <v>203</v>
      </c>
      <c r="D9" s="11"/>
      <c r="E9" s="1"/>
      <c r="F9" s="1"/>
    </row>
    <row r="10" spans="1:6" ht="15" customHeight="1" x14ac:dyDescent="0.25">
      <c r="A10" s="1"/>
      <c r="B10" s="62" t="s">
        <v>227</v>
      </c>
      <c r="C10" s="9">
        <v>19733193</v>
      </c>
      <c r="D10" s="14" t="s">
        <v>3</v>
      </c>
      <c r="E10" s="1"/>
      <c r="F10" s="1"/>
    </row>
    <row r="11" spans="1:6" ht="15" customHeight="1" x14ac:dyDescent="0.25">
      <c r="A11" s="1"/>
      <c r="B11" s="62" t="s">
        <v>228</v>
      </c>
      <c r="C11" s="9">
        <v>81561</v>
      </c>
      <c r="D11" s="14" t="s">
        <v>3</v>
      </c>
      <c r="E11" s="1"/>
      <c r="F11" s="1"/>
    </row>
    <row r="12" spans="1:6" x14ac:dyDescent="0.25">
      <c r="A12" s="1"/>
      <c r="B12" s="62" t="s">
        <v>229</v>
      </c>
      <c r="C12" s="9">
        <v>10518657</v>
      </c>
      <c r="D12" s="14" t="s">
        <v>3</v>
      </c>
      <c r="E12" s="1"/>
      <c r="F12" s="1"/>
    </row>
    <row r="13" spans="1:6" x14ac:dyDescent="0.25">
      <c r="A13" s="1"/>
      <c r="B13" s="62" t="s">
        <v>230</v>
      </c>
      <c r="C13" s="9">
        <v>147238</v>
      </c>
      <c r="D13" s="14" t="s">
        <v>3</v>
      </c>
      <c r="E13" s="1"/>
      <c r="F13" s="1"/>
    </row>
    <row r="14" spans="1:6" x14ac:dyDescent="0.25">
      <c r="A14" s="1"/>
      <c r="B14" s="62" t="s">
        <v>231</v>
      </c>
      <c r="C14" s="9">
        <v>437603</v>
      </c>
      <c r="D14" s="14" t="s">
        <v>3</v>
      </c>
      <c r="E14" s="1"/>
      <c r="F14" s="1"/>
    </row>
    <row r="15" spans="1:6" x14ac:dyDescent="0.25">
      <c r="A15" s="1"/>
      <c r="B15" s="50" t="s">
        <v>204</v>
      </c>
      <c r="C15" s="12">
        <f>SUM(C10:C14)</f>
        <v>30918252</v>
      </c>
      <c r="D15" s="13" t="s">
        <v>3</v>
      </c>
      <c r="E15" s="1"/>
      <c r="F15" s="1"/>
    </row>
    <row r="16" spans="1:6" x14ac:dyDescent="0.25">
      <c r="A16" s="1"/>
      <c r="B16" s="50" t="s">
        <v>205</v>
      </c>
      <c r="C16" s="12">
        <f>C15*(1+'Fane 12. Nøgletal'!C14)^2</f>
        <v>31122649.162964284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3no3J9rWQ1TJs8y0YE+u7dSzbO08ZSUtAplu/l+tDLMELg4ZrdhZjDpvQAvzGexyrPFR354/Ulse1UZ7ys8UPw==" saltValue="5WGCcyaj9tdmaS3weFVzz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6" t="s">
        <v>220</v>
      </c>
      <c r="C3" s="96"/>
      <c r="D3" s="96"/>
      <c r="E3" s="96"/>
      <c r="F3" s="96"/>
      <c r="G3" s="1"/>
    </row>
    <row r="4" spans="1:7" ht="15" customHeight="1" x14ac:dyDescent="0.25">
      <c r="A4" s="1"/>
      <c r="B4" s="96"/>
      <c r="C4" s="96"/>
      <c r="D4" s="96"/>
      <c r="E4" s="96"/>
      <c r="F4" s="96"/>
      <c r="G4" s="1"/>
    </row>
    <row r="5" spans="1:7" ht="15" customHeight="1" x14ac:dyDescent="0.25">
      <c r="A5" s="1"/>
      <c r="B5" s="54"/>
      <c r="C5" s="54"/>
      <c r="D5" s="54"/>
      <c r="E5" s="54"/>
      <c r="F5" s="54"/>
      <c r="G5" s="1"/>
    </row>
    <row r="6" spans="1:7" ht="15" customHeight="1" x14ac:dyDescent="0.25">
      <c r="A6" s="1"/>
      <c r="B6" s="54"/>
      <c r="C6" s="54"/>
      <c r="D6" s="54"/>
      <c r="E6" s="54"/>
      <c r="F6" s="54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1" t="s">
        <v>233</v>
      </c>
      <c r="C8" s="112"/>
      <c r="D8" s="112"/>
      <c r="E8" s="112"/>
      <c r="F8" s="113"/>
      <c r="G8" s="1"/>
    </row>
    <row r="9" spans="1:7" x14ac:dyDescent="0.25">
      <c r="A9" s="1"/>
      <c r="B9" s="114" t="s">
        <v>234</v>
      </c>
      <c r="C9" s="115"/>
      <c r="D9" s="116"/>
      <c r="E9" s="9">
        <v>-643428.59552267939</v>
      </c>
      <c r="F9" s="14" t="s">
        <v>3</v>
      </c>
      <c r="G9" s="1"/>
    </row>
    <row r="10" spans="1:7" x14ac:dyDescent="0.25">
      <c r="A10" s="1"/>
      <c r="B10" s="114" t="s">
        <v>235</v>
      </c>
      <c r="C10" s="115"/>
      <c r="D10" s="116"/>
      <c r="E10" s="9">
        <v>-2821.1299250274897</v>
      </c>
      <c r="F10" s="14" t="s">
        <v>3</v>
      </c>
      <c r="G10" s="1"/>
    </row>
    <row r="11" spans="1:7" x14ac:dyDescent="0.25">
      <c r="A11" s="1"/>
      <c r="B11" s="114" t="s">
        <v>236</v>
      </c>
      <c r="C11" s="115"/>
      <c r="D11" s="116"/>
      <c r="E11" s="9">
        <v>5880008.8068340272</v>
      </c>
      <c r="F11" s="14" t="s">
        <v>3</v>
      </c>
      <c r="G11" s="1"/>
    </row>
    <row r="12" spans="1:7" x14ac:dyDescent="0.25">
      <c r="A12" s="1"/>
      <c r="B12" s="114" t="s">
        <v>237</v>
      </c>
      <c r="C12" s="115"/>
      <c r="D12" s="116"/>
      <c r="E12" s="9">
        <f>IF(OR(AND(E10&gt;0,E11&lt;0),AND(E11&lt;0,E34&gt;0)),E17+E18,E11)</f>
        <v>5880008.8068340272</v>
      </c>
      <c r="F12" s="14" t="s">
        <v>3</v>
      </c>
      <c r="G12" s="1"/>
    </row>
    <row r="13" spans="1:7" x14ac:dyDescent="0.25">
      <c r="A13" s="1"/>
      <c r="B13" s="50"/>
      <c r="C13" s="51"/>
      <c r="D13" s="51"/>
      <c r="E13" s="51"/>
      <c r="F13" s="20"/>
      <c r="G13" s="1"/>
    </row>
    <row r="14" spans="1:7" ht="54.75" customHeight="1" x14ac:dyDescent="0.25">
      <c r="A14" s="1"/>
      <c r="B14" s="100" t="s">
        <v>238</v>
      </c>
      <c r="C14" s="101"/>
      <c r="D14" s="101"/>
      <c r="E14" s="101"/>
      <c r="F14" s="102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1" t="s">
        <v>239</v>
      </c>
      <c r="C16" s="112"/>
      <c r="D16" s="112"/>
      <c r="E16" s="112"/>
      <c r="F16" s="113"/>
      <c r="G16" s="1"/>
    </row>
    <row r="17" spans="1:7" x14ac:dyDescent="0.25">
      <c r="A17" s="1"/>
      <c r="B17" s="114" t="s">
        <v>240</v>
      </c>
      <c r="C17" s="115"/>
      <c r="D17" s="116"/>
      <c r="E17" s="9">
        <v>-1410.5649625137448</v>
      </c>
      <c r="F17" s="14" t="s">
        <v>3</v>
      </c>
      <c r="G17" s="1"/>
    </row>
    <row r="18" spans="1:7" x14ac:dyDescent="0.25">
      <c r="A18" s="1"/>
      <c r="B18" s="114" t="s">
        <v>241</v>
      </c>
      <c r="C18" s="115"/>
      <c r="D18" s="116"/>
      <c r="E18" s="9">
        <v>-1410.5649625137448</v>
      </c>
      <c r="F18" s="14" t="s">
        <v>3</v>
      </c>
      <c r="G18" s="1"/>
    </row>
    <row r="19" spans="1:7" x14ac:dyDescent="0.25">
      <c r="A19" s="1"/>
      <c r="B19" s="50"/>
      <c r="C19" s="51"/>
      <c r="D19" s="51"/>
      <c r="E19" s="51"/>
      <c r="F19" s="20"/>
      <c r="G19" s="1"/>
    </row>
    <row r="20" spans="1:7" ht="30" customHeight="1" x14ac:dyDescent="0.25">
      <c r="A20" s="1"/>
      <c r="B20" s="100" t="s">
        <v>242</v>
      </c>
      <c r="C20" s="101"/>
      <c r="D20" s="101"/>
      <c r="E20" s="101"/>
      <c r="F20" s="102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9" t="s">
        <v>206</v>
      </c>
      <c r="C22" s="60"/>
      <c r="D22" s="60"/>
      <c r="E22" s="60"/>
      <c r="F22" s="61"/>
      <c r="G22" s="1"/>
    </row>
    <row r="23" spans="1:7" x14ac:dyDescent="0.25">
      <c r="A23" s="1"/>
      <c r="B23" s="56" t="s">
        <v>207</v>
      </c>
      <c r="C23" s="57"/>
      <c r="D23" s="58"/>
      <c r="E23" s="9">
        <v>57065250.24622944</v>
      </c>
      <c r="F23" s="14" t="s">
        <v>3</v>
      </c>
      <c r="G23" s="1"/>
    </row>
    <row r="24" spans="1:7" x14ac:dyDescent="0.25">
      <c r="A24" s="1"/>
      <c r="B24" s="56" t="s">
        <v>208</v>
      </c>
      <c r="C24" s="57"/>
      <c r="D24" s="58"/>
      <c r="E24" s="9">
        <v>58110067</v>
      </c>
      <c r="F24" s="14" t="s">
        <v>3</v>
      </c>
      <c r="G24" s="1"/>
    </row>
    <row r="25" spans="1:7" x14ac:dyDescent="0.25">
      <c r="A25" s="1"/>
      <c r="B25" s="56" t="s">
        <v>34</v>
      </c>
      <c r="C25" s="57"/>
      <c r="D25" s="58"/>
      <c r="E25" s="9">
        <v>0</v>
      </c>
      <c r="F25" s="14" t="s">
        <v>3</v>
      </c>
      <c r="G25" s="1"/>
    </row>
    <row r="26" spans="1:7" x14ac:dyDescent="0.25">
      <c r="A26" s="1"/>
      <c r="B26" s="63" t="s">
        <v>250</v>
      </c>
      <c r="C26" s="64"/>
      <c r="D26" s="65"/>
      <c r="E26" s="45">
        <f>E23-(E24-E25)</f>
        <v>-1044816.75377056</v>
      </c>
      <c r="F26" s="17" t="s">
        <v>3</v>
      </c>
      <c r="G26" s="1"/>
    </row>
    <row r="27" spans="1:7" x14ac:dyDescent="0.25">
      <c r="A27" s="1"/>
      <c r="B27" s="50"/>
      <c r="C27" s="51"/>
      <c r="D27" s="51"/>
      <c r="E27" s="51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1" t="s">
        <v>243</v>
      </c>
      <c r="C29" s="112"/>
      <c r="D29" s="112"/>
      <c r="E29" s="112"/>
      <c r="F29" s="113"/>
      <c r="G29" s="1"/>
    </row>
    <row r="30" spans="1:7" x14ac:dyDescent="0.25">
      <c r="A30" s="1"/>
      <c r="B30" s="132" t="s">
        <v>244</v>
      </c>
      <c r="C30" s="133"/>
      <c r="D30" s="134"/>
      <c r="E30" s="10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-E17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0</v>
      </c>
      <c r="F30" s="17" t="s">
        <v>3</v>
      </c>
      <c r="G30" s="1"/>
    </row>
    <row r="31" spans="1:7" x14ac:dyDescent="0.25">
      <c r="A31" s="1"/>
      <c r="B31" s="111"/>
      <c r="C31" s="112"/>
      <c r="D31" s="112"/>
      <c r="E31" s="112"/>
      <c r="F31" s="113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11" t="s">
        <v>245</v>
      </c>
      <c r="C33" s="112"/>
      <c r="D33" s="112"/>
      <c r="E33" s="112"/>
      <c r="F33" s="113"/>
      <c r="G33" s="1"/>
    </row>
    <row r="34" spans="1:7" x14ac:dyDescent="0.25">
      <c r="A34" s="1"/>
      <c r="B34" s="136" t="s">
        <v>251</v>
      </c>
      <c r="C34" s="137"/>
      <c r="D34" s="138"/>
      <c r="E34" s="9">
        <v>0</v>
      </c>
      <c r="F34" s="14"/>
      <c r="G34" s="1"/>
    </row>
    <row r="35" spans="1:7" x14ac:dyDescent="0.25">
      <c r="A35" s="1"/>
      <c r="B35" s="136" t="s">
        <v>161</v>
      </c>
      <c r="C35" s="137"/>
      <c r="D35" s="138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0</v>
      </c>
      <c r="F35" s="14" t="s">
        <v>3</v>
      </c>
      <c r="G35" s="1"/>
    </row>
    <row r="36" spans="1:7" x14ac:dyDescent="0.25">
      <c r="A36" s="1"/>
      <c r="B36" s="136" t="s">
        <v>110</v>
      </c>
      <c r="C36" s="137"/>
      <c r="D36" s="138"/>
      <c r="E36" s="9">
        <v>4</v>
      </c>
      <c r="F36" s="14" t="s">
        <v>19</v>
      </c>
      <c r="G36" s="1"/>
    </row>
    <row r="37" spans="1:7" x14ac:dyDescent="0.25">
      <c r="A37" s="1"/>
      <c r="B37" s="135" t="s">
        <v>160</v>
      </c>
      <c r="C37" s="135"/>
      <c r="D37" s="135"/>
      <c r="E37" s="10">
        <f>E35/E36</f>
        <v>0</v>
      </c>
      <c r="F37" s="17" t="s">
        <v>3</v>
      </c>
      <c r="G37" s="1"/>
    </row>
    <row r="38" spans="1:7" x14ac:dyDescent="0.25">
      <c r="A38" s="1"/>
      <c r="B38" s="129"/>
      <c r="C38" s="130"/>
      <c r="D38" s="130"/>
      <c r="E38" s="130"/>
      <c r="F38" s="131"/>
      <c r="G38" s="1"/>
    </row>
    <row r="39" spans="1:7" ht="75" customHeight="1" x14ac:dyDescent="0.25">
      <c r="A39" s="1"/>
      <c r="B39" s="100" t="s">
        <v>249</v>
      </c>
      <c r="C39" s="101"/>
      <c r="D39" s="101"/>
      <c r="E39" s="101"/>
      <c r="F39" s="102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vSCpHYcmj/j+KIzDPVtuOpStUGlZozzGyV1gBcYbmC7dX3RlRlBtKpRhAqzA1V9eHyOdnf0LJrWs/J7b8pWnOg==" saltValue="ZL7Su32xUB1fhwWnnPkFxQ==" spinCount="100000" sheet="1" objects="1" scenarios="1"/>
  <mergeCells count="21">
    <mergeCell ref="B31:F31"/>
    <mergeCell ref="B33:F33"/>
    <mergeCell ref="B34:D34"/>
    <mergeCell ref="B35:D35"/>
    <mergeCell ref="B36:D36"/>
    <mergeCell ref="B38:F38"/>
    <mergeCell ref="B39:F39"/>
    <mergeCell ref="B29:F29"/>
    <mergeCell ref="B30:D30"/>
    <mergeCell ref="B3:F4"/>
    <mergeCell ref="B17:D17"/>
    <mergeCell ref="B9:D9"/>
    <mergeCell ref="B8:F8"/>
    <mergeCell ref="B10:D10"/>
    <mergeCell ref="B37:D37"/>
    <mergeCell ref="B11:D11"/>
    <mergeCell ref="B12:D12"/>
    <mergeCell ref="B14:F14"/>
    <mergeCell ref="B16:F16"/>
    <mergeCell ref="B18:D18"/>
    <mergeCell ref="B20:F20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169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1" t="s">
        <v>157</v>
      </c>
      <c r="C8" s="112"/>
      <c r="D8" s="112"/>
      <c r="E8" s="112"/>
      <c r="F8" s="112"/>
      <c r="G8" s="112"/>
      <c r="H8" s="113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53"/>
      <c r="I9" s="1"/>
    </row>
    <row r="10" spans="1:9" x14ac:dyDescent="0.25">
      <c r="A10" s="1"/>
      <c r="B10" s="67" t="s">
        <v>252</v>
      </c>
      <c r="C10" s="68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1" t="s">
        <v>158</v>
      </c>
      <c r="C11" s="112"/>
      <c r="D11" s="113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+nEdZpYwPwJx9+Kaeusm5s4py1ry0b1pHZzjY0E6fRgfpTMZqZjBspsya979WEwa8xWcj9uo1RZdBRkf71ONMg==" saltValue="fcxY1rQSxXls4wlpDZJKL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168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0" t="s">
        <v>84</v>
      </c>
      <c r="C8" s="51"/>
      <c r="D8" s="51"/>
      <c r="E8" s="51"/>
      <c r="F8" s="20"/>
      <c r="G8" s="1"/>
    </row>
    <row r="9" spans="1:7" ht="17.25" customHeight="1" x14ac:dyDescent="0.25">
      <c r="A9" s="1"/>
      <c r="B9" s="48" t="s">
        <v>16</v>
      </c>
      <c r="C9" s="48" t="s">
        <v>11</v>
      </c>
      <c r="D9" s="49"/>
      <c r="E9" s="48" t="s">
        <v>32</v>
      </c>
      <c r="F9" s="53"/>
      <c r="G9" s="1"/>
    </row>
    <row r="10" spans="1:7" x14ac:dyDescent="0.25">
      <c r="A10" s="1"/>
      <c r="B10" s="25" t="s">
        <v>39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50" t="s">
        <v>136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0" t="s">
        <v>209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1qXK+3yHVvfQmi+00S/noaTjDhzRS+lVgwq6BqCqCFrwHNzZvdDKWA0YEPyXAE+py7h0VR30Tu13y/y7xTUkyg==" saltValue="KglOH145HqP0FNMUKBSBv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167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1" t="s">
        <v>102</v>
      </c>
      <c r="C8" s="112"/>
      <c r="D8" s="112"/>
      <c r="E8" s="112"/>
      <c r="F8" s="113"/>
      <c r="G8" s="1"/>
    </row>
    <row r="9" spans="1:7" x14ac:dyDescent="0.25">
      <c r="A9" s="1"/>
      <c r="B9" s="48" t="s">
        <v>16</v>
      </c>
      <c r="C9" s="48" t="s">
        <v>11</v>
      </c>
      <c r="D9" s="49"/>
      <c r="E9" s="48" t="s">
        <v>32</v>
      </c>
      <c r="F9" s="53"/>
      <c r="G9" s="1"/>
    </row>
    <row r="10" spans="1:7" x14ac:dyDescent="0.25">
      <c r="A10" s="1"/>
      <c r="B10" s="25" t="s">
        <v>246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0" t="s">
        <v>210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50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1" t="s">
        <v>103</v>
      </c>
      <c r="C16" s="112"/>
      <c r="D16" s="112"/>
      <c r="E16" s="112"/>
      <c r="F16" s="113"/>
      <c r="G16" s="1"/>
    </row>
    <row r="17" spans="1:7" x14ac:dyDescent="0.25">
      <c r="A17" s="1"/>
      <c r="B17" s="48" t="s">
        <v>16</v>
      </c>
      <c r="C17" s="48" t="s">
        <v>11</v>
      </c>
      <c r="D17" s="49"/>
      <c r="E17" s="48" t="s">
        <v>32</v>
      </c>
      <c r="F17" s="53"/>
      <c r="G17" s="1"/>
    </row>
    <row r="18" spans="1:7" x14ac:dyDescent="0.25">
      <c r="A18" s="1"/>
      <c r="B18" s="25" t="s">
        <v>246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50" t="s">
        <v>210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50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1" t="s">
        <v>138</v>
      </c>
      <c r="C24" s="112"/>
      <c r="D24" s="112"/>
      <c r="E24" s="112"/>
      <c r="F24" s="113"/>
      <c r="G24" s="1"/>
    </row>
    <row r="25" spans="1:7" x14ac:dyDescent="0.25">
      <c r="A25" s="1"/>
      <c r="B25" s="48" t="s">
        <v>16</v>
      </c>
      <c r="C25" s="48" t="s">
        <v>11</v>
      </c>
      <c r="D25" s="49"/>
      <c r="E25" s="48" t="s">
        <v>32</v>
      </c>
      <c r="F25" s="53"/>
      <c r="G25" s="1"/>
    </row>
    <row r="26" spans="1:7" x14ac:dyDescent="0.25">
      <c r="A26" s="1"/>
      <c r="B26" s="25" t="s">
        <v>246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50" t="s">
        <v>210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50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1" t="s">
        <v>211</v>
      </c>
      <c r="C32" s="112"/>
      <c r="D32" s="112"/>
      <c r="E32" s="112"/>
      <c r="F32" s="113"/>
      <c r="G32" s="1"/>
    </row>
    <row r="33" spans="1:7" x14ac:dyDescent="0.25">
      <c r="A33" s="1"/>
      <c r="B33" s="48" t="s">
        <v>16</v>
      </c>
      <c r="C33" s="48" t="s">
        <v>11</v>
      </c>
      <c r="D33" s="49"/>
      <c r="E33" s="48" t="s">
        <v>32</v>
      </c>
      <c r="F33" s="53"/>
      <c r="G33" s="1"/>
    </row>
    <row r="34" spans="1:7" x14ac:dyDescent="0.25">
      <c r="A34" s="1"/>
      <c r="B34" s="25" t="s">
        <v>246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50" t="s">
        <v>210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50" t="s">
        <v>212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tAHtOnxwAROJ/7wXi3DxAnqNBz6ADUGtKu/jriP+0MTchzIVasM6USCtFbPNqSdzSgdMkVA3j/HO0icncUXbUg==" saltValue="Shgzxv8rH3GdEXlFtcyFj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6" t="s">
        <v>166</v>
      </c>
      <c r="C3" s="96"/>
      <c r="D3" s="96"/>
      <c r="E3" s="96"/>
      <c r="F3" s="96"/>
      <c r="G3" s="1"/>
    </row>
    <row r="4" spans="1:7" ht="25.5" customHeight="1" x14ac:dyDescent="0.25">
      <c r="A4" s="1"/>
      <c r="B4" s="96"/>
      <c r="C4" s="96"/>
      <c r="D4" s="96"/>
      <c r="E4" s="96"/>
      <c r="F4" s="9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1" t="s">
        <v>130</v>
      </c>
      <c r="C8" s="112"/>
      <c r="D8" s="112"/>
      <c r="E8" s="112"/>
      <c r="F8" s="113"/>
      <c r="G8" s="1"/>
    </row>
    <row r="9" spans="1:7" ht="15" customHeight="1" x14ac:dyDescent="0.25">
      <c r="A9" s="1"/>
      <c r="B9" s="52" t="s">
        <v>131</v>
      </c>
      <c r="C9" s="106" t="s">
        <v>11</v>
      </c>
      <c r="D9" s="108"/>
      <c r="E9" s="106" t="s">
        <v>32</v>
      </c>
      <c r="F9" s="108"/>
      <c r="G9" s="1"/>
    </row>
    <row r="10" spans="1:7" x14ac:dyDescent="0.25">
      <c r="A10" s="1"/>
      <c r="B10" s="25" t="s">
        <v>226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213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vsVCgVO68xrGb/+Hpfbpxd+aPamaWBrGykOTlwz0jZ2d08c9/UMSVpp8rLzD+qX74NAfj6ap0kUGXSnH8AGvyQ==" saltValue="Ui767EjRQ3xxlR3hdm4oA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6" t="s">
        <v>165</v>
      </c>
      <c r="C3" s="96"/>
      <c r="D3" s="96"/>
      <c r="E3" s="96"/>
      <c r="F3" s="96"/>
      <c r="G3" s="1"/>
    </row>
    <row r="4" spans="1:7" ht="25.5" customHeight="1" x14ac:dyDescent="0.25">
      <c r="A4" s="1"/>
      <c r="B4" s="96"/>
      <c r="C4" s="96"/>
      <c r="D4" s="96"/>
      <c r="E4" s="96"/>
      <c r="F4" s="9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1" t="s">
        <v>98</v>
      </c>
      <c r="C8" s="112"/>
      <c r="D8" s="112"/>
      <c r="E8" s="112"/>
      <c r="F8" s="113"/>
      <c r="G8" s="1"/>
    </row>
    <row r="9" spans="1:7" ht="15" customHeight="1" x14ac:dyDescent="0.25">
      <c r="A9" s="1"/>
      <c r="B9" s="52" t="s">
        <v>17</v>
      </c>
      <c r="C9" s="52" t="s">
        <v>11</v>
      </c>
      <c r="D9" s="53"/>
      <c r="E9" s="52" t="s">
        <v>32</v>
      </c>
      <c r="F9" s="53"/>
      <c r="G9" s="1"/>
    </row>
    <row r="10" spans="1:7" x14ac:dyDescent="0.25">
      <c r="A10" s="1"/>
      <c r="B10" s="25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0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0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1" t="s">
        <v>99</v>
      </c>
      <c r="C15" s="112"/>
      <c r="D15" s="112"/>
      <c r="E15" s="112"/>
      <c r="F15" s="113"/>
      <c r="G15" s="1"/>
    </row>
    <row r="16" spans="1:7" ht="26.25" x14ac:dyDescent="0.25">
      <c r="A16" s="1"/>
      <c r="B16" s="52" t="s">
        <v>17</v>
      </c>
      <c r="C16" s="52" t="s">
        <v>11</v>
      </c>
      <c r="D16" s="53"/>
      <c r="E16" s="52" t="s">
        <v>32</v>
      </c>
      <c r="F16" s="53"/>
      <c r="G16" s="1"/>
    </row>
    <row r="17" spans="1:7" x14ac:dyDescent="0.25">
      <c r="A17" s="1"/>
      <c r="B17" s="25" t="s">
        <v>232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50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50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11" t="s">
        <v>142</v>
      </c>
      <c r="C22" s="112"/>
      <c r="D22" s="112"/>
      <c r="E22" s="112"/>
      <c r="F22" s="113"/>
      <c r="G22" s="1"/>
    </row>
    <row r="23" spans="1:7" ht="26.25" x14ac:dyDescent="0.25">
      <c r="A23" s="1"/>
      <c r="B23" s="52" t="s">
        <v>17</v>
      </c>
      <c r="C23" s="52" t="s">
        <v>11</v>
      </c>
      <c r="D23" s="53"/>
      <c r="E23" s="52" t="s">
        <v>32</v>
      </c>
      <c r="F23" s="53"/>
      <c r="G23" s="1"/>
    </row>
    <row r="24" spans="1:7" x14ac:dyDescent="0.25">
      <c r="A24" s="1"/>
      <c r="B24" s="25" t="s">
        <v>232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50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50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1" t="s">
        <v>214</v>
      </c>
      <c r="C29" s="112"/>
      <c r="D29" s="112"/>
      <c r="E29" s="112"/>
      <c r="F29" s="113"/>
      <c r="G29" s="1"/>
    </row>
    <row r="30" spans="1:7" ht="26.25" x14ac:dyDescent="0.25">
      <c r="A30" s="1"/>
      <c r="B30" s="52" t="s">
        <v>17</v>
      </c>
      <c r="C30" s="52" t="s">
        <v>11</v>
      </c>
      <c r="D30" s="53"/>
      <c r="E30" s="52" t="s">
        <v>32</v>
      </c>
      <c r="F30" s="53"/>
      <c r="G30" s="1"/>
    </row>
    <row r="31" spans="1:7" x14ac:dyDescent="0.25">
      <c r="A31" s="1"/>
      <c r="B31" s="25" t="s">
        <v>232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50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50" t="s">
        <v>215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2P/8TLM7HjqS4FkAiW05z14RogyGc28ZoRm2DEGSTrDUK0+riaXeJTHPkEgYTEddyoZgW2mlLp26tVjUy+suPQ==" saltValue="Jyn6lEEwqWYM3ns5v/HP7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6" t="s">
        <v>164</v>
      </c>
      <c r="C3" s="96"/>
      <c r="D3" s="1"/>
    </row>
    <row r="4" spans="1:4" ht="25.5" customHeight="1" x14ac:dyDescent="0.25">
      <c r="A4" s="1"/>
      <c r="B4" s="96"/>
      <c r="C4" s="96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0" t="s">
        <v>14</v>
      </c>
      <c r="C8" s="20"/>
      <c r="D8" s="1"/>
    </row>
    <row r="9" spans="1:4" x14ac:dyDescent="0.25">
      <c r="A9" s="1"/>
      <c r="B9" s="62" t="s">
        <v>118</v>
      </c>
      <c r="C9" s="26">
        <v>1.2699999999999999E-2</v>
      </c>
      <c r="D9" s="1"/>
    </row>
    <row r="10" spans="1:4" x14ac:dyDescent="0.25">
      <c r="A10" s="1"/>
      <c r="B10" s="62" t="s">
        <v>22</v>
      </c>
      <c r="C10" s="26">
        <v>1.7500000000000002E-2</v>
      </c>
      <c r="D10" s="1"/>
    </row>
    <row r="11" spans="1:4" x14ac:dyDescent="0.25">
      <c r="A11" s="1"/>
      <c r="B11" s="62" t="s">
        <v>119</v>
      </c>
      <c r="C11" s="26">
        <v>1.6899999999999998E-2</v>
      </c>
      <c r="D11" s="1"/>
    </row>
    <row r="12" spans="1:4" x14ac:dyDescent="0.25">
      <c r="A12" s="1"/>
      <c r="B12" s="33" t="s">
        <v>42</v>
      </c>
      <c r="C12" s="34">
        <v>1.9699999999999999E-2</v>
      </c>
      <c r="D12" s="1"/>
    </row>
    <row r="13" spans="1:4" x14ac:dyDescent="0.25">
      <c r="A13" s="1"/>
      <c r="B13" s="33" t="s">
        <v>140</v>
      </c>
      <c r="C13" s="34">
        <v>1.2200000000000001E-2</v>
      </c>
      <c r="D13" s="1"/>
    </row>
    <row r="14" spans="1:4" x14ac:dyDescent="0.25">
      <c r="A14" s="1"/>
      <c r="B14" s="33" t="s">
        <v>216</v>
      </c>
      <c r="C14" s="69">
        <v>3.3E-3</v>
      </c>
      <c r="D14" s="1"/>
    </row>
    <row r="15" spans="1:4" x14ac:dyDescent="0.25">
      <c r="A15" s="1"/>
      <c r="B15" s="111"/>
      <c r="C15" s="113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0" t="s">
        <v>106</v>
      </c>
      <c r="C18" s="20"/>
      <c r="D18" s="1"/>
    </row>
    <row r="19" spans="1:4" x14ac:dyDescent="0.25">
      <c r="A19" s="1"/>
      <c r="B19" s="62" t="s">
        <v>120</v>
      </c>
      <c r="C19" s="23">
        <v>9.1000000000000004E-3</v>
      </c>
      <c r="D19" s="1"/>
    </row>
    <row r="20" spans="1:4" x14ac:dyDescent="0.25">
      <c r="A20" s="1"/>
      <c r="B20" s="62" t="s">
        <v>121</v>
      </c>
      <c r="C20" s="23">
        <v>1.77E-2</v>
      </c>
      <c r="D20" s="1"/>
    </row>
    <row r="21" spans="1:4" x14ac:dyDescent="0.25">
      <c r="A21" s="1"/>
      <c r="B21" s="62" t="s">
        <v>122</v>
      </c>
      <c r="C21" s="23">
        <v>8.6999999999999994E-3</v>
      </c>
      <c r="D21" s="1"/>
    </row>
    <row r="22" spans="1:4" x14ac:dyDescent="0.25">
      <c r="A22" s="1"/>
      <c r="B22" s="62" t="s">
        <v>123</v>
      </c>
      <c r="C22" s="35">
        <v>2.8400000000000002E-2</v>
      </c>
      <c r="D22" s="1"/>
    </row>
    <row r="23" spans="1:4" x14ac:dyDescent="0.25">
      <c r="A23" s="1"/>
      <c r="B23" s="62" t="s">
        <v>146</v>
      </c>
      <c r="C23" s="35">
        <v>2.75E-2</v>
      </c>
      <c r="D23" s="1"/>
    </row>
    <row r="24" spans="1:4" x14ac:dyDescent="0.25">
      <c r="A24" s="1"/>
      <c r="B24" s="62" t="s">
        <v>217</v>
      </c>
      <c r="C24" s="35">
        <v>1.4800000000000001E-2</v>
      </c>
      <c r="D24" s="1"/>
    </row>
    <row r="25" spans="1:4" x14ac:dyDescent="0.25">
      <c r="A25" s="1"/>
      <c r="B25" s="50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50" t="s">
        <v>107</v>
      </c>
      <c r="C28" s="20"/>
      <c r="D28" s="1"/>
    </row>
    <row r="29" spans="1:4" x14ac:dyDescent="0.25">
      <c r="A29" s="1"/>
      <c r="B29" s="62" t="s">
        <v>124</v>
      </c>
      <c r="C29" s="26">
        <v>0.02</v>
      </c>
      <c r="D29" s="1"/>
    </row>
    <row r="30" spans="1:4" x14ac:dyDescent="0.25">
      <c r="A30" s="1"/>
      <c r="B30" s="50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S4GfW0LVTUTt+z64FKXvwX4i8ARSdXI7DHnfQFmLICjaoDkpOplMY60Wup+y/uexYQwzQ0LPmp3H47lFyg9Oew==" saltValue="8rBRd832eohkFwg+mccRQw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183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0" t="s">
        <v>13</v>
      </c>
      <c r="C8" s="51"/>
      <c r="D8" s="20"/>
      <c r="E8" s="1"/>
    </row>
    <row r="9" spans="1:5" x14ac:dyDescent="0.25">
      <c r="A9" s="1"/>
      <c r="B9" s="55" t="s">
        <v>24</v>
      </c>
      <c r="C9" s="7">
        <f>'Fane 3. Omkostninger i ØR2021'!E20</f>
        <v>17812384.589978728</v>
      </c>
      <c r="D9" s="8" t="s">
        <v>3</v>
      </c>
      <c r="E9" s="1"/>
    </row>
    <row r="10" spans="1:5" x14ac:dyDescent="0.25">
      <c r="A10" s="1"/>
      <c r="B10" s="46" t="s">
        <v>218</v>
      </c>
      <c r="C10" s="7">
        <f>(SUM('Fane 3. Omkostninger i ØR2021'!E10,'Fane 3. Omkostninger i ØR2021'!E12,'Fane 3. Omkostninger i ØR2021'!E14)*(1+'Fane 12. Nøgletal'!C13)*(1-'Fane 12. Nøgletal'!C29-'Fane 5. Individuelt eff. krav'!G10))</f>
        <v>0</v>
      </c>
      <c r="D10" s="8" t="s">
        <v>3</v>
      </c>
      <c r="E10" s="1"/>
    </row>
    <row r="11" spans="1:5" x14ac:dyDescent="0.25">
      <c r="A11" s="1"/>
      <c r="B11" s="46" t="s">
        <v>219</v>
      </c>
      <c r="C11" s="7">
        <f>(SUM('Fane 3. Omkostninger i ØR2021'!E11,'Fane 3. Omkostninger i ØR2021'!E13,'Fane 3. Omkostninger i ØR2021'!E15)*(1+'Fane 12. Nøgletal'!C13)*(1-'Fane 12. Nøgletal'!C23-'Fane 5. Individuelt eff. krav'!G10))</f>
        <v>392400.28047338594</v>
      </c>
      <c r="D11" s="8" t="s">
        <v>3</v>
      </c>
      <c r="E11" s="1"/>
    </row>
    <row r="12" spans="1:5" ht="17.100000000000001" customHeight="1" x14ac:dyDescent="0.25">
      <c r="A12" s="1"/>
      <c r="B12" s="30" t="s">
        <v>40</v>
      </c>
      <c r="C12" s="7">
        <f>'Fane 9.1. Varige tillæg'!C12</f>
        <v>0</v>
      </c>
      <c r="D12" s="8" t="s">
        <v>3</v>
      </c>
      <c r="E12" s="1"/>
    </row>
    <row r="13" spans="1:5" ht="17.100000000000001" customHeight="1" x14ac:dyDescent="0.25">
      <c r="A13" s="1"/>
      <c r="B13" s="30" t="s">
        <v>41</v>
      </c>
      <c r="C13" s="9">
        <f>'Fane 9.1. Varige tillæg'!E12</f>
        <v>0</v>
      </c>
      <c r="D13" s="8" t="s">
        <v>3</v>
      </c>
      <c r="E13" s="1"/>
    </row>
    <row r="14" spans="1:5" ht="17.100000000000001" customHeight="1" x14ac:dyDescent="0.2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30" t="s">
        <v>18</v>
      </c>
      <c r="C18" s="9">
        <f>C9*'Fane 12. Nøgletal'!C13+SUM(C12:C17)*'Fane 12. Nøgletal'!C14</f>
        <v>217311.0919977405</v>
      </c>
      <c r="D18" s="8" t="s">
        <v>3</v>
      </c>
      <c r="E18" s="1"/>
    </row>
    <row r="19" spans="1:5" ht="17.100000000000001" customHeight="1" x14ac:dyDescent="0.25">
      <c r="A19" s="1"/>
      <c r="B19" s="30" t="s">
        <v>9</v>
      </c>
      <c r="C19" s="9">
        <f>-SUM(C9,C12:C18)*'Fane 5. Individuelt eff. krav'!G10</f>
        <v>-161300.04447376198</v>
      </c>
      <c r="D19" s="8" t="s">
        <v>3</v>
      </c>
      <c r="E19" s="1"/>
    </row>
    <row r="20" spans="1:5" ht="17.100000000000001" customHeight="1" x14ac:dyDescent="0.25">
      <c r="A20" s="1"/>
      <c r="B20" s="30" t="s">
        <v>25</v>
      </c>
      <c r="C20" s="9">
        <f>-'Fane 4.1. Gen. krav - drift'!G38</f>
        <v>-229286.25537721696</v>
      </c>
      <c r="D20" s="8" t="s">
        <v>3</v>
      </c>
      <c r="E20" s="1"/>
    </row>
    <row r="21" spans="1:5" ht="17.100000000000001" customHeight="1" x14ac:dyDescent="0.25">
      <c r="A21" s="1"/>
      <c r="B21" s="30" t="s">
        <v>26</v>
      </c>
      <c r="C21" s="9">
        <f>-'Fane 4.2. Gen. krav - anlæg'!G38</f>
        <v>-222220.45656031123</v>
      </c>
      <c r="D21" s="8" t="s">
        <v>3</v>
      </c>
      <c r="E21" s="1"/>
    </row>
    <row r="22" spans="1:5" ht="17.100000000000001" customHeight="1" x14ac:dyDescent="0.25">
      <c r="A22" s="1"/>
      <c r="B22" s="63" t="s">
        <v>20</v>
      </c>
      <c r="C22" s="10">
        <f>SUM(C9,C12:C21)</f>
        <v>17416888.925565176</v>
      </c>
      <c r="D22" s="11" t="s">
        <v>3</v>
      </c>
      <c r="E22" s="1"/>
    </row>
    <row r="23" spans="1:5" ht="15" customHeight="1" x14ac:dyDescent="0.25">
      <c r="A23" s="1"/>
      <c r="B23" s="50" t="s">
        <v>12</v>
      </c>
      <c r="C23" s="51"/>
      <c r="D23" s="20"/>
      <c r="E23" s="1"/>
    </row>
    <row r="24" spans="1:5" ht="15" customHeight="1" x14ac:dyDescent="0.25">
      <c r="A24" s="1"/>
      <c r="B24" s="52" t="s">
        <v>12</v>
      </c>
      <c r="C24" s="10">
        <f>'Fane 6. Ikke-påvirkelige omk.'!C16</f>
        <v>31122649.162964284</v>
      </c>
      <c r="D24" s="11" t="s">
        <v>3</v>
      </c>
      <c r="E24" s="1"/>
    </row>
    <row r="25" spans="1:5" ht="15" customHeight="1" x14ac:dyDescent="0.25">
      <c r="A25" s="1"/>
      <c r="B25" s="50" t="s">
        <v>89</v>
      </c>
      <c r="C25" s="51"/>
      <c r="D25" s="20"/>
      <c r="E25" s="1"/>
    </row>
    <row r="26" spans="1:5" ht="15" customHeight="1" x14ac:dyDescent="0.2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2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63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25">
      <c r="A29" s="1"/>
      <c r="B29" s="36" t="s">
        <v>161</v>
      </c>
      <c r="C29" s="51"/>
      <c r="D29" s="20"/>
      <c r="E29" s="1"/>
    </row>
    <row r="30" spans="1:5" x14ac:dyDescent="0.25">
      <c r="A30" s="1"/>
      <c r="B30" s="66" t="s">
        <v>162</v>
      </c>
      <c r="C30" s="10">
        <f>'Fane 7. Kontrol af ØR2020'!E30</f>
        <v>0</v>
      </c>
      <c r="D30" s="11" t="s">
        <v>3</v>
      </c>
      <c r="E30" s="1"/>
    </row>
    <row r="31" spans="1:5" x14ac:dyDescent="0.25">
      <c r="A31" s="1"/>
      <c r="B31" s="36" t="s">
        <v>224</v>
      </c>
      <c r="C31" s="51"/>
      <c r="D31" s="20"/>
      <c r="E31" s="1"/>
    </row>
    <row r="32" spans="1:5" x14ac:dyDescent="0.25">
      <c r="A32" s="1"/>
      <c r="B32" s="66" t="s">
        <v>225</v>
      </c>
      <c r="C32" s="10">
        <v>0</v>
      </c>
      <c r="D32" s="11" t="s">
        <v>3</v>
      </c>
      <c r="E32" s="1"/>
    </row>
    <row r="33" spans="1:5" x14ac:dyDescent="0.25">
      <c r="A33" s="1"/>
      <c r="B33" s="50" t="s">
        <v>30</v>
      </c>
      <c r="C33" s="31">
        <f>SUM(C22,C24,C28,C30,C32)</f>
        <v>48539538.08852946</v>
      </c>
      <c r="D33" s="20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/BU5x2spghxEGE5K2mA8uk/AnBS9tu3HrRLKCWMOg94zLDzXAd7mIt/SVwx7Y1q3HaLwxHV6Pl0A6K0WLNXPfA==" saltValue="nDFHYlK3+1wvPvBf62fwc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184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89" t="s">
        <v>21</v>
      </c>
      <c r="C5" s="89"/>
      <c r="D5" s="89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0" t="s">
        <v>13</v>
      </c>
      <c r="C8" s="51"/>
      <c r="D8" s="20"/>
      <c r="E8" s="1"/>
    </row>
    <row r="9" spans="1:5" ht="15" customHeight="1" x14ac:dyDescent="0.25">
      <c r="A9" s="1"/>
      <c r="B9" s="55" t="s">
        <v>134</v>
      </c>
      <c r="C9" s="7">
        <f>'Fane 2.1. Økonomisk ramme 2022'!C22</f>
        <v>17416888.925565176</v>
      </c>
      <c r="D9" s="8" t="s">
        <v>3</v>
      </c>
      <c r="E9" s="1"/>
    </row>
    <row r="10" spans="1:5" ht="15" customHeight="1" x14ac:dyDescent="0.25">
      <c r="A10" s="1"/>
      <c r="B10" s="30" t="s">
        <v>28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0" t="s">
        <v>27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46" t="s">
        <v>18</v>
      </c>
      <c r="C12" s="9">
        <f>SUM(C9:C11)*'Fane 12. Nøgletal'!C14</f>
        <v>57475.73345436508</v>
      </c>
      <c r="D12" s="8" t="s">
        <v>3</v>
      </c>
      <c r="E12" s="1"/>
    </row>
    <row r="13" spans="1:5" ht="15" customHeight="1" x14ac:dyDescent="0.25">
      <c r="A13" s="1"/>
      <c r="B13" s="46" t="s">
        <v>9</v>
      </c>
      <c r="C13" s="9">
        <f>-SUM(C9:C12)*'Fane 5. Individuelt eff. krav'!G10</f>
        <v>-156331.85641997491</v>
      </c>
      <c r="D13" s="8" t="s">
        <v>3</v>
      </c>
      <c r="E13" s="1"/>
    </row>
    <row r="14" spans="1:5" ht="15" customHeight="1" x14ac:dyDescent="0.25">
      <c r="A14" s="1"/>
      <c r="B14" s="46" t="s">
        <v>25</v>
      </c>
      <c r="C14" s="9">
        <f>-'Fane 4.1. Gen. krav - drift'!G44</f>
        <v>-225442.04201956256</v>
      </c>
      <c r="D14" s="8" t="s">
        <v>3</v>
      </c>
      <c r="E14" s="1"/>
    </row>
    <row r="15" spans="1:5" ht="15" customHeight="1" x14ac:dyDescent="0.25">
      <c r="A15" s="1"/>
      <c r="B15" s="46" t="s">
        <v>26</v>
      </c>
      <c r="C15" s="9">
        <f>-'Fane 4.2. Gen. krav - anlæg'!G44</f>
        <v>-116689.95687548217</v>
      </c>
      <c r="D15" s="8" t="s">
        <v>3</v>
      </c>
      <c r="E15" s="1"/>
    </row>
    <row r="16" spans="1:5" ht="15" customHeight="1" x14ac:dyDescent="0.25">
      <c r="A16" s="1"/>
      <c r="B16" s="47" t="s">
        <v>20</v>
      </c>
      <c r="C16" s="10">
        <f>SUM(C9:C15)</f>
        <v>16975900.803704526</v>
      </c>
      <c r="D16" s="11" t="s">
        <v>3</v>
      </c>
      <c r="E16" s="1"/>
    </row>
    <row r="17" spans="1:5" x14ac:dyDescent="0.25">
      <c r="A17" s="1"/>
      <c r="B17" s="50" t="s">
        <v>12</v>
      </c>
      <c r="C17" s="51"/>
      <c r="D17" s="20"/>
      <c r="E17" s="1"/>
    </row>
    <row r="18" spans="1:5" ht="15" customHeight="1" x14ac:dyDescent="0.25">
      <c r="A18" s="1"/>
      <c r="B18" s="52" t="s">
        <v>12</v>
      </c>
      <c r="C18" s="10">
        <f>'Fane 6. Ikke-påvirkelige omk.'!C16*(1+'Fane 12. Nøgletal'!C14)</f>
        <v>31225353.905202068</v>
      </c>
      <c r="D18" s="11" t="s">
        <v>3</v>
      </c>
      <c r="E18" s="1"/>
    </row>
    <row r="19" spans="1:5" ht="15" customHeight="1" x14ac:dyDescent="0.25">
      <c r="A19" s="1"/>
      <c r="B19" s="50" t="s">
        <v>89</v>
      </c>
      <c r="C19" s="51"/>
      <c r="D19" s="20"/>
      <c r="E19" s="1"/>
    </row>
    <row r="20" spans="1:5" ht="15" customHeight="1" x14ac:dyDescent="0.25">
      <c r="A20" s="1"/>
      <c r="B20" s="30" t="s">
        <v>85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0" t="s">
        <v>86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63" t="s">
        <v>90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6" t="s">
        <v>161</v>
      </c>
      <c r="C23" s="51"/>
      <c r="D23" s="20"/>
      <c r="E23" s="1"/>
    </row>
    <row r="24" spans="1:5" ht="15" customHeight="1" x14ac:dyDescent="0.25">
      <c r="A24" s="1"/>
      <c r="B24" s="66" t="s">
        <v>162</v>
      </c>
      <c r="C24" s="10">
        <f>'Fane 7. Kontrol af ØR2020'!E37</f>
        <v>0</v>
      </c>
      <c r="D24" s="11" t="s">
        <v>3</v>
      </c>
      <c r="E24" s="1"/>
    </row>
    <row r="25" spans="1:5" x14ac:dyDescent="0.25">
      <c r="A25" s="1"/>
      <c r="B25" s="36" t="s">
        <v>224</v>
      </c>
      <c r="C25" s="51"/>
      <c r="D25" s="20"/>
      <c r="E25" s="1"/>
    </row>
    <row r="26" spans="1:5" x14ac:dyDescent="0.25">
      <c r="A26" s="1"/>
      <c r="B26" s="66" t="s">
        <v>225</v>
      </c>
      <c r="C26" s="10">
        <v>0</v>
      </c>
      <c r="D26" s="11" t="s">
        <v>3</v>
      </c>
      <c r="E26" s="1"/>
    </row>
    <row r="27" spans="1:5" x14ac:dyDescent="0.25">
      <c r="A27" s="1"/>
      <c r="B27" s="50" t="s">
        <v>97</v>
      </c>
      <c r="C27" s="12">
        <f>SUM(C16,C18,C22,C24,C26)</f>
        <v>48201254.708906591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6NsUYxXB+ccRhhV9nyvmigDPzG3zleDyEteG6vZaYEGnFOeSIV6MNmHlKlJNT1hm0lwqJiObhL4eQ9Au2NHAXw==" saltValue="KH6Qe10lIyQNqHAkKnyR3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185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89" t="s">
        <v>21</v>
      </c>
      <c r="C5" s="89"/>
      <c r="D5" s="89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0" t="s">
        <v>13</v>
      </c>
      <c r="C7" s="51"/>
      <c r="D7" s="20"/>
      <c r="E7" s="1"/>
    </row>
    <row r="8" spans="1:5" ht="15" customHeight="1" x14ac:dyDescent="0.25">
      <c r="A8" s="1"/>
      <c r="B8" s="55" t="s">
        <v>135</v>
      </c>
      <c r="C8" s="7">
        <f>'Fane 2.2. Økonomisk ramme 2023'!C16</f>
        <v>16975900.803704526</v>
      </c>
      <c r="D8" s="8" t="s">
        <v>3</v>
      </c>
      <c r="E8" s="1"/>
    </row>
    <row r="9" spans="1:5" ht="15" customHeight="1" x14ac:dyDescent="0.25">
      <c r="A9" s="1"/>
      <c r="B9" s="55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5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6" t="s">
        <v>18</v>
      </c>
      <c r="C11" s="9">
        <f>SUM(C8:C10)*'Fane 12. Nøgletal'!C14</f>
        <v>56020.472652224933</v>
      </c>
      <c r="D11" s="8" t="s">
        <v>3</v>
      </c>
      <c r="E11" s="1"/>
    </row>
    <row r="12" spans="1:5" ht="15" customHeight="1" x14ac:dyDescent="0.25">
      <c r="A12" s="1"/>
      <c r="B12" s="46" t="s">
        <v>9</v>
      </c>
      <c r="C12" s="9">
        <f>-SUM(C8:C11)*'Fane 5. Individuelt eff. krav'!G10</f>
        <v>-152373.60118597385</v>
      </c>
      <c r="D12" s="8" t="s">
        <v>3</v>
      </c>
      <c r="E12" s="1"/>
    </row>
    <row r="13" spans="1:5" ht="15" customHeight="1" x14ac:dyDescent="0.25">
      <c r="A13" s="1"/>
      <c r="B13" s="46" t="s">
        <v>25</v>
      </c>
      <c r="C13" s="9">
        <f>-'Fane 4.1. Gen. krav - drift'!G50</f>
        <v>-221662.28074306261</v>
      </c>
      <c r="D13" s="8" t="s">
        <v>3</v>
      </c>
      <c r="E13" s="1"/>
    </row>
    <row r="14" spans="1:5" ht="15" customHeight="1" x14ac:dyDescent="0.25">
      <c r="A14" s="1"/>
      <c r="B14" s="46" t="s">
        <v>26</v>
      </c>
      <c r="C14" s="43">
        <f>-'Fane 4.2. Gen. krav - anlæg'!G50</f>
        <v>-115342.32323392032</v>
      </c>
      <c r="D14" s="8" t="s">
        <v>3</v>
      </c>
      <c r="E14" s="1"/>
    </row>
    <row r="15" spans="1:5" x14ac:dyDescent="0.25">
      <c r="A15" s="1"/>
      <c r="B15" s="47" t="s">
        <v>20</v>
      </c>
      <c r="C15" s="10">
        <f>SUM(C8:C14)</f>
        <v>16542543.071193796</v>
      </c>
      <c r="D15" s="11" t="s">
        <v>3</v>
      </c>
      <c r="E15" s="1"/>
    </row>
    <row r="16" spans="1:5" x14ac:dyDescent="0.25">
      <c r="A16" s="1"/>
      <c r="B16" s="50" t="s">
        <v>12</v>
      </c>
      <c r="C16" s="51"/>
      <c r="D16" s="20"/>
      <c r="E16" s="1"/>
    </row>
    <row r="17" spans="1:5" ht="15" customHeight="1" x14ac:dyDescent="0.25">
      <c r="A17" s="1"/>
      <c r="B17" s="52" t="s">
        <v>12</v>
      </c>
      <c r="C17" s="10">
        <f>'Fane 6. Ikke-påvirkelige omk.'!C16*(1+'Fane 12. Nøgletal'!C14)^2</f>
        <v>31328397.573089238</v>
      </c>
      <c r="D17" s="11" t="s">
        <v>3</v>
      </c>
      <c r="E17" s="1"/>
    </row>
    <row r="18" spans="1:5" ht="15" customHeight="1" x14ac:dyDescent="0.25">
      <c r="A18" s="1"/>
      <c r="B18" s="50" t="s">
        <v>89</v>
      </c>
      <c r="C18" s="51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63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0" t="s">
        <v>161</v>
      </c>
      <c r="C22" s="51"/>
      <c r="D22" s="20"/>
      <c r="E22" s="1"/>
    </row>
    <row r="23" spans="1:5" x14ac:dyDescent="0.25">
      <c r="A23" s="1"/>
      <c r="B23" s="52" t="s">
        <v>162</v>
      </c>
      <c r="C23" s="10">
        <f>'Fane 7. Kontrol af ØR2020'!E37</f>
        <v>0</v>
      </c>
      <c r="D23" s="11" t="s">
        <v>3</v>
      </c>
      <c r="E23" s="1"/>
    </row>
    <row r="24" spans="1:5" ht="15" customHeight="1" x14ac:dyDescent="0.25">
      <c r="A24" s="1"/>
      <c r="B24" s="36" t="s">
        <v>224</v>
      </c>
      <c r="C24" s="51"/>
      <c r="D24" s="20"/>
      <c r="E24" s="1"/>
    </row>
    <row r="25" spans="1:5" ht="15" customHeight="1" x14ac:dyDescent="0.25">
      <c r="A25" s="1"/>
      <c r="B25" s="66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0" t="s">
        <v>186</v>
      </c>
      <c r="C26" s="12">
        <f>SUM(C15,C17,C21,C23,C25)</f>
        <v>47870940.644283034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FTYUIpmhVkNXfF9ActciyJatCzCTbiU6guV93YnA/o20BIl3TtF97k1UjBCrRYZyu7M2IjZqTbznqLB98aAP3g==" saltValue="iwIZDgFqYLsmT8zevpbu7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187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89" t="s">
        <v>21</v>
      </c>
      <c r="C5" s="89"/>
      <c r="D5" s="89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0" t="s">
        <v>13</v>
      </c>
      <c r="C7" s="51"/>
      <c r="D7" s="20"/>
      <c r="E7" s="1"/>
    </row>
    <row r="8" spans="1:5" ht="15" customHeight="1" x14ac:dyDescent="0.25">
      <c r="A8" s="1"/>
      <c r="B8" s="55" t="s">
        <v>188</v>
      </c>
      <c r="C8" s="7">
        <f>'Fane 2.3. Økonomisk ramme 2024'!C15</f>
        <v>16542543.071193796</v>
      </c>
      <c r="D8" s="8" t="s">
        <v>3</v>
      </c>
      <c r="E8" s="1"/>
    </row>
    <row r="9" spans="1:5" ht="15" customHeight="1" x14ac:dyDescent="0.25">
      <c r="A9" s="1"/>
      <c r="B9" s="55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5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6" t="s">
        <v>18</v>
      </c>
      <c r="C11" s="9">
        <f>SUM(C8:C10)*'Fane 12. Nøgletal'!C14</f>
        <v>54590.392134939524</v>
      </c>
      <c r="D11" s="8" t="s">
        <v>3</v>
      </c>
      <c r="E11" s="1"/>
    </row>
    <row r="12" spans="1:5" ht="15" customHeight="1" x14ac:dyDescent="0.25">
      <c r="A12" s="1"/>
      <c r="B12" s="46" t="s">
        <v>9</v>
      </c>
      <c r="C12" s="9">
        <f>-SUM(C8:C11)*'Fane 5. Individuelt eff. krav'!G10</f>
        <v>-148483.83538986137</v>
      </c>
      <c r="D12" s="8" t="s">
        <v>3</v>
      </c>
      <c r="E12" s="1"/>
    </row>
    <row r="13" spans="1:5" ht="15" customHeight="1" x14ac:dyDescent="0.25">
      <c r="A13" s="1"/>
      <c r="B13" s="46" t="s">
        <v>25</v>
      </c>
      <c r="C13" s="9">
        <f>-'Fane 4.1. Gen. krav - drift'!G56</f>
        <v>-217945.89094412443</v>
      </c>
      <c r="D13" s="8" t="s">
        <v>3</v>
      </c>
      <c r="E13" s="1"/>
    </row>
    <row r="14" spans="1:5" ht="15" customHeight="1" x14ac:dyDescent="0.25">
      <c r="A14" s="1"/>
      <c r="B14" s="46" t="s">
        <v>26</v>
      </c>
      <c r="C14" s="9">
        <f>-'Fane 4.2. Gen. krav - anlæg'!G56</f>
        <v>-114010.25319766351</v>
      </c>
      <c r="D14" s="8" t="s">
        <v>3</v>
      </c>
      <c r="E14" s="1"/>
    </row>
    <row r="15" spans="1:5" x14ac:dyDescent="0.25">
      <c r="A15" s="1"/>
      <c r="B15" s="47" t="s">
        <v>20</v>
      </c>
      <c r="C15" s="10">
        <f>SUM(C8:C14)</f>
        <v>16116693.483797085</v>
      </c>
      <c r="D15" s="11" t="s">
        <v>3</v>
      </c>
      <c r="E15" s="1"/>
    </row>
    <row r="16" spans="1:5" x14ac:dyDescent="0.25">
      <c r="A16" s="1"/>
      <c r="B16" s="50" t="s">
        <v>12</v>
      </c>
      <c r="C16" s="51"/>
      <c r="D16" s="20"/>
      <c r="E16" s="1"/>
    </row>
    <row r="17" spans="1:5" ht="15" customHeight="1" x14ac:dyDescent="0.25">
      <c r="A17" s="1"/>
      <c r="B17" s="52" t="s">
        <v>12</v>
      </c>
      <c r="C17" s="10">
        <f>'Fane 6. Ikke-påvirkelige omk.'!C16*(1+'Fane 12. Nøgletal'!C14)^3</f>
        <v>31431781.285080437</v>
      </c>
      <c r="D17" s="11" t="s">
        <v>3</v>
      </c>
      <c r="E17" s="1"/>
    </row>
    <row r="18" spans="1:5" ht="15" customHeight="1" x14ac:dyDescent="0.25">
      <c r="A18" s="1"/>
      <c r="B18" s="50" t="s">
        <v>89</v>
      </c>
      <c r="C18" s="51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63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0" t="s">
        <v>161</v>
      </c>
      <c r="C22" s="51"/>
      <c r="D22" s="20"/>
      <c r="E22" s="1"/>
    </row>
    <row r="23" spans="1:5" x14ac:dyDescent="0.25">
      <c r="A23" s="1"/>
      <c r="B23" s="52" t="s">
        <v>162</v>
      </c>
      <c r="C23" s="10">
        <f>'Fane 7. Kontrol af ØR2020'!E37</f>
        <v>0</v>
      </c>
      <c r="D23" s="11" t="s">
        <v>3</v>
      </c>
      <c r="E23" s="1"/>
    </row>
    <row r="24" spans="1:5" x14ac:dyDescent="0.25">
      <c r="A24" s="1"/>
      <c r="B24" s="36" t="s">
        <v>224</v>
      </c>
      <c r="C24" s="51"/>
      <c r="D24" s="20"/>
      <c r="E24" s="1"/>
    </row>
    <row r="25" spans="1:5" x14ac:dyDescent="0.25">
      <c r="A25" s="1"/>
      <c r="B25" s="66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0" t="s">
        <v>189</v>
      </c>
      <c r="C26" s="12">
        <f>SUM(C15,C17,C21,C23,C25)</f>
        <v>47548474.768877521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uCFllj3Ql++gkCGP+7lsmhSjL+smS8B3qzN2gBcqX8YxuOpWkmsZt0MaltonZMA6T6LBR8kur8ADd/7YDUtd0w==" saltValue="NQxagSU5ttnz4gLoyDc7h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6" t="s">
        <v>190</v>
      </c>
      <c r="C3" s="96"/>
      <c r="D3" s="96"/>
      <c r="E3" s="96"/>
      <c r="F3" s="96"/>
      <c r="G3" s="1"/>
    </row>
    <row r="4" spans="1:7" ht="29.25" customHeight="1" x14ac:dyDescent="0.25">
      <c r="A4" s="1"/>
      <c r="B4" s="96"/>
      <c r="C4" s="96"/>
      <c r="D4" s="96"/>
      <c r="E4" s="96"/>
      <c r="F4" s="9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0" t="s">
        <v>223</v>
      </c>
      <c r="C8" s="51"/>
      <c r="D8" s="51"/>
      <c r="E8" s="51"/>
      <c r="F8" s="20"/>
      <c r="G8" s="1"/>
    </row>
    <row r="9" spans="1:7" x14ac:dyDescent="0.25">
      <c r="A9" s="1"/>
      <c r="B9" s="97" t="s">
        <v>23</v>
      </c>
      <c r="C9" s="98"/>
      <c r="D9" s="99"/>
      <c r="E9" s="7">
        <v>17809678.358748958</v>
      </c>
      <c r="F9" s="8" t="s">
        <v>3</v>
      </c>
      <c r="G9" s="1"/>
    </row>
    <row r="10" spans="1:7" ht="15" customHeight="1" x14ac:dyDescent="0.25">
      <c r="A10" s="1"/>
      <c r="B10" s="90" t="s">
        <v>40</v>
      </c>
      <c r="C10" s="91"/>
      <c r="D10" s="92"/>
      <c r="E10" s="9">
        <v>0</v>
      </c>
      <c r="F10" s="8" t="s">
        <v>3</v>
      </c>
      <c r="G10" s="1"/>
    </row>
    <row r="11" spans="1:7" ht="15" customHeight="1" x14ac:dyDescent="0.25">
      <c r="A11" s="1"/>
      <c r="B11" s="90" t="s">
        <v>41</v>
      </c>
      <c r="C11" s="91"/>
      <c r="D11" s="92"/>
      <c r="E11" s="9">
        <v>402334.31699999998</v>
      </c>
      <c r="F11" s="8" t="s">
        <v>3</v>
      </c>
      <c r="G11" s="1"/>
    </row>
    <row r="12" spans="1:7" x14ac:dyDescent="0.25">
      <c r="A12" s="1"/>
      <c r="B12" s="90" t="s">
        <v>28</v>
      </c>
      <c r="C12" s="91"/>
      <c r="D12" s="92"/>
      <c r="E12" s="9">
        <v>0</v>
      </c>
      <c r="F12" s="8" t="s">
        <v>3</v>
      </c>
      <c r="G12" s="1"/>
    </row>
    <row r="13" spans="1:7" x14ac:dyDescent="0.25">
      <c r="A13" s="1"/>
      <c r="B13" s="90" t="s">
        <v>27</v>
      </c>
      <c r="C13" s="91"/>
      <c r="D13" s="92"/>
      <c r="E13" s="9">
        <v>0</v>
      </c>
      <c r="F13" s="8" t="s">
        <v>3</v>
      </c>
      <c r="G13" s="1"/>
    </row>
    <row r="14" spans="1:7" x14ac:dyDescent="0.25">
      <c r="A14" s="1"/>
      <c r="B14" s="90" t="s">
        <v>132</v>
      </c>
      <c r="C14" s="91"/>
      <c r="D14" s="92"/>
      <c r="E14" s="9">
        <v>0</v>
      </c>
      <c r="F14" s="8" t="s">
        <v>3</v>
      </c>
      <c r="G14" s="1"/>
    </row>
    <row r="15" spans="1:7" x14ac:dyDescent="0.25">
      <c r="A15" s="1"/>
      <c r="B15" s="90" t="s">
        <v>133</v>
      </c>
      <c r="C15" s="91"/>
      <c r="D15" s="92"/>
      <c r="E15" s="9">
        <v>0</v>
      </c>
      <c r="F15" s="8" t="s">
        <v>3</v>
      </c>
      <c r="G15" s="1"/>
    </row>
    <row r="16" spans="1:7" x14ac:dyDescent="0.25">
      <c r="A16" s="1"/>
      <c r="B16" s="90" t="s">
        <v>18</v>
      </c>
      <c r="C16" s="91"/>
      <c r="D16" s="92"/>
      <c r="E16" s="9">
        <v>222186.55464413733</v>
      </c>
      <c r="F16" s="8" t="s">
        <v>3</v>
      </c>
      <c r="G16" s="1"/>
    </row>
    <row r="17" spans="1:7" x14ac:dyDescent="0.25">
      <c r="A17" s="1"/>
      <c r="B17" s="90" t="s">
        <v>9</v>
      </c>
      <c r="C17" s="91"/>
      <c r="D17" s="92"/>
      <c r="E17" s="9">
        <v>-164918.87651065658</v>
      </c>
      <c r="F17" s="8" t="s">
        <v>3</v>
      </c>
      <c r="G17" s="1"/>
    </row>
    <row r="18" spans="1:7" x14ac:dyDescent="0.25">
      <c r="A18" s="1"/>
      <c r="B18" s="90" t="s">
        <v>25</v>
      </c>
      <c r="C18" s="91"/>
      <c r="D18" s="92"/>
      <c r="E18" s="9">
        <v>-231145.59050725735</v>
      </c>
      <c r="F18" s="8" t="s">
        <v>3</v>
      </c>
      <c r="G18" s="1"/>
    </row>
    <row r="19" spans="1:7" x14ac:dyDescent="0.25">
      <c r="A19" s="1"/>
      <c r="B19" s="90" t="s">
        <v>26</v>
      </c>
      <c r="C19" s="91"/>
      <c r="D19" s="92"/>
      <c r="E19" s="9">
        <v>-225750.17339645149</v>
      </c>
      <c r="F19" s="8" t="s">
        <v>3</v>
      </c>
      <c r="G19" s="1"/>
    </row>
    <row r="20" spans="1:7" x14ac:dyDescent="0.25">
      <c r="A20" s="1"/>
      <c r="B20" s="103" t="s">
        <v>20</v>
      </c>
      <c r="C20" s="104"/>
      <c r="D20" s="105"/>
      <c r="E20" s="10">
        <f>SUM(E9:E19)</f>
        <v>17812384.589978728</v>
      </c>
      <c r="F20" s="11" t="s">
        <v>3</v>
      </c>
      <c r="G20" s="1"/>
    </row>
    <row r="21" spans="1:7" x14ac:dyDescent="0.25">
      <c r="A21" s="1"/>
      <c r="B21" s="50" t="s">
        <v>12</v>
      </c>
      <c r="C21" s="51"/>
      <c r="D21" s="51"/>
      <c r="E21" s="51"/>
      <c r="F21" s="20"/>
      <c r="G21" s="1"/>
    </row>
    <row r="22" spans="1:7" x14ac:dyDescent="0.25">
      <c r="A22" s="1"/>
      <c r="B22" s="93" t="s">
        <v>12</v>
      </c>
      <c r="C22" s="94"/>
      <c r="D22" s="95"/>
      <c r="E22" s="10">
        <v>33784172.192468882</v>
      </c>
      <c r="F22" s="11" t="s">
        <v>3</v>
      </c>
      <c r="G22" s="1"/>
    </row>
    <row r="23" spans="1:7" ht="15" customHeight="1" x14ac:dyDescent="0.25">
      <c r="A23" s="1"/>
      <c r="B23" s="109" t="s">
        <v>89</v>
      </c>
      <c r="C23" s="110"/>
      <c r="D23" s="110"/>
      <c r="E23" s="51"/>
      <c r="F23" s="51"/>
      <c r="G23" s="1"/>
    </row>
    <row r="24" spans="1:7" ht="14.25" customHeight="1" x14ac:dyDescent="0.25">
      <c r="A24" s="1"/>
      <c r="B24" s="100" t="s">
        <v>85</v>
      </c>
      <c r="C24" s="101"/>
      <c r="D24" s="102"/>
      <c r="E24" s="9">
        <v>0</v>
      </c>
      <c r="F24" s="8" t="s">
        <v>3</v>
      </c>
      <c r="G24" s="1"/>
    </row>
    <row r="25" spans="1:7" ht="14.25" customHeight="1" x14ac:dyDescent="0.25">
      <c r="A25" s="1"/>
      <c r="B25" s="100" t="s">
        <v>86</v>
      </c>
      <c r="C25" s="101"/>
      <c r="D25" s="102"/>
      <c r="E25" s="9">
        <v>0</v>
      </c>
      <c r="F25" s="8" t="s">
        <v>3</v>
      </c>
      <c r="G25" s="1"/>
    </row>
    <row r="26" spans="1:7" x14ac:dyDescent="0.25">
      <c r="A26" s="1"/>
      <c r="B26" s="106" t="s">
        <v>90</v>
      </c>
      <c r="C26" s="107"/>
      <c r="D26" s="107"/>
      <c r="E26" s="10">
        <v>0</v>
      </c>
      <c r="F26" s="11" t="s">
        <v>3</v>
      </c>
      <c r="G26" s="1"/>
    </row>
    <row r="27" spans="1:7" x14ac:dyDescent="0.25">
      <c r="A27" s="1"/>
      <c r="B27" s="50" t="s">
        <v>161</v>
      </c>
      <c r="C27" s="51"/>
      <c r="D27" s="51"/>
      <c r="E27" s="51"/>
      <c r="F27" s="20"/>
      <c r="G27" s="1"/>
    </row>
    <row r="28" spans="1:7" ht="15" customHeight="1" x14ac:dyDescent="0.25">
      <c r="A28" s="1"/>
      <c r="B28" s="106" t="s">
        <v>162</v>
      </c>
      <c r="C28" s="107"/>
      <c r="D28" s="108"/>
      <c r="E28" s="10">
        <v>-1410.5649625137448</v>
      </c>
      <c r="F28" s="11" t="s">
        <v>3</v>
      </c>
      <c r="G28" s="1"/>
    </row>
    <row r="29" spans="1:7" x14ac:dyDescent="0.25">
      <c r="A29" s="1"/>
      <c r="B29" s="50" t="s">
        <v>247</v>
      </c>
      <c r="C29" s="51"/>
      <c r="D29" s="51"/>
      <c r="E29" s="51"/>
      <c r="F29" s="20"/>
      <c r="G29" s="1"/>
    </row>
    <row r="30" spans="1:7" ht="15.6" customHeight="1" x14ac:dyDescent="0.25">
      <c r="A30" s="1"/>
      <c r="B30" s="93" t="s">
        <v>248</v>
      </c>
      <c r="C30" s="94"/>
      <c r="D30" s="95"/>
      <c r="E30" s="10">
        <v>0</v>
      </c>
      <c r="F30" s="11" t="s">
        <v>3</v>
      </c>
      <c r="G30" s="1"/>
    </row>
    <row r="31" spans="1:7" x14ac:dyDescent="0.25">
      <c r="A31" s="1"/>
      <c r="B31" s="50" t="s">
        <v>29</v>
      </c>
      <c r="C31" s="51"/>
      <c r="D31" s="51"/>
      <c r="E31" s="12">
        <f>E20+E22+E26+E28+E30</f>
        <v>51595146.217485093</v>
      </c>
      <c r="F31" s="13" t="s">
        <v>3</v>
      </c>
      <c r="G31" s="1"/>
    </row>
    <row r="32" spans="1:7" ht="27.75" customHeight="1" x14ac:dyDescent="0.25">
      <c r="A32" s="1"/>
      <c r="B32" s="100" t="s">
        <v>191</v>
      </c>
      <c r="C32" s="101"/>
      <c r="D32" s="101"/>
      <c r="E32" s="101"/>
      <c r="F32" s="102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iEq5m5I7KEDVyn7Po17dKfQ3GOg69STH+WR45JKa1WrWbzJM6xNdpk9rd16cJ7G8OphXTRb9DTxm+45yN4cURw==" saltValue="ous5Rq6teuhuvy1r69Ix6A==" spinCount="100000" sheet="1" objects="1" scenarios="1"/>
  <mergeCells count="21">
    <mergeCell ref="B32:F32"/>
    <mergeCell ref="B16:D16"/>
    <mergeCell ref="B17:D17"/>
    <mergeCell ref="B18:D18"/>
    <mergeCell ref="B19:D19"/>
    <mergeCell ref="B20:D20"/>
    <mergeCell ref="B28:D28"/>
    <mergeCell ref="B23:D23"/>
    <mergeCell ref="B24:D24"/>
    <mergeCell ref="B25:D25"/>
    <mergeCell ref="B26:D26"/>
    <mergeCell ref="B30:D30"/>
    <mergeCell ref="B13:D13"/>
    <mergeCell ref="B14:D14"/>
    <mergeCell ref="B15:D15"/>
    <mergeCell ref="B22:D22"/>
    <mergeCell ref="B3:F4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96" t="s">
        <v>115</v>
      </c>
      <c r="C1" s="96"/>
      <c r="D1" s="96"/>
      <c r="E1" s="96"/>
      <c r="F1" s="96"/>
      <c r="G1" s="96"/>
      <c r="H1" s="96"/>
      <c r="I1" s="1"/>
    </row>
    <row r="2" spans="1:9" ht="15" customHeight="1" x14ac:dyDescent="0.25">
      <c r="A2" s="1"/>
      <c r="B2" s="96"/>
      <c r="C2" s="96"/>
      <c r="D2" s="96"/>
      <c r="E2" s="96"/>
      <c r="F2" s="96"/>
      <c r="G2" s="96"/>
      <c r="H2" s="96"/>
      <c r="I2" s="1"/>
    </row>
    <row r="3" spans="1:9" ht="15" customHeight="1" x14ac:dyDescent="0.25">
      <c r="A3" s="1"/>
      <c r="B3" s="96"/>
      <c r="C3" s="96"/>
      <c r="D3" s="96"/>
      <c r="E3" s="96"/>
      <c r="F3" s="96"/>
      <c r="G3" s="96"/>
      <c r="H3" s="96"/>
      <c r="I3" s="1"/>
    </row>
    <row r="4" spans="1:9" x14ac:dyDescent="0.25">
      <c r="A4" s="1"/>
      <c r="B4" s="111" t="s">
        <v>54</v>
      </c>
      <c r="C4" s="112"/>
      <c r="D4" s="112"/>
      <c r="E4" s="112"/>
      <c r="F4" s="112"/>
      <c r="G4" s="112"/>
      <c r="H4" s="113"/>
      <c r="I4" s="1"/>
    </row>
    <row r="5" spans="1:9" x14ac:dyDescent="0.25">
      <c r="A5" s="1"/>
      <c r="B5" s="114" t="s">
        <v>43</v>
      </c>
      <c r="C5" s="115"/>
      <c r="D5" s="115"/>
      <c r="E5" s="115"/>
      <c r="F5" s="116"/>
      <c r="G5" s="24">
        <v>11820821.978148257</v>
      </c>
      <c r="H5" s="14" t="s">
        <v>3</v>
      </c>
      <c r="I5" s="1"/>
    </row>
    <row r="6" spans="1:9" x14ac:dyDescent="0.25">
      <c r="A6" s="1"/>
      <c r="B6" s="114" t="s">
        <v>44</v>
      </c>
      <c r="C6" s="115"/>
      <c r="D6" s="115"/>
      <c r="E6" s="115"/>
      <c r="F6" s="116"/>
      <c r="G6" s="24">
        <f>G5*'Fane 12. Nøgletal'!C29</f>
        <v>236416.43956296516</v>
      </c>
      <c r="H6" s="14" t="s">
        <v>3</v>
      </c>
      <c r="I6" s="1"/>
    </row>
    <row r="7" spans="1:9" x14ac:dyDescent="0.25">
      <c r="A7" s="1"/>
      <c r="B7" s="50"/>
      <c r="C7" s="51"/>
      <c r="D7" s="51"/>
      <c r="E7" s="51"/>
      <c r="F7" s="51"/>
      <c r="G7" s="51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1" t="s">
        <v>55</v>
      </c>
      <c r="C9" s="112"/>
      <c r="D9" s="112"/>
      <c r="E9" s="112"/>
      <c r="F9" s="112"/>
      <c r="G9" s="112"/>
      <c r="H9" s="113"/>
      <c r="I9" s="1"/>
    </row>
    <row r="10" spans="1:9" x14ac:dyDescent="0.25">
      <c r="A10" s="1"/>
      <c r="B10" s="114" t="s">
        <v>45</v>
      </c>
      <c r="C10" s="115"/>
      <c r="D10" s="115"/>
      <c r="E10" s="115"/>
      <c r="F10" s="116"/>
      <c r="G10" s="24">
        <f>(G5-G6)*(1+'Fane 12. Nøgletal'!C9)</f>
        <v>11731527.488925325</v>
      </c>
      <c r="H10" s="14" t="s">
        <v>3</v>
      </c>
      <c r="I10" s="1"/>
    </row>
    <row r="11" spans="1:9" x14ac:dyDescent="0.25">
      <c r="A11" s="1"/>
      <c r="B11" s="117" t="s">
        <v>46</v>
      </c>
      <c r="C11" s="118"/>
      <c r="D11" s="118"/>
      <c r="E11" s="118"/>
      <c r="F11" s="119"/>
      <c r="G11" s="9">
        <v>0</v>
      </c>
      <c r="H11" s="14" t="s">
        <v>3</v>
      </c>
      <c r="I11" s="1"/>
    </row>
    <row r="12" spans="1:9" x14ac:dyDescent="0.25">
      <c r="A12" s="1"/>
      <c r="B12" s="114" t="s">
        <v>47</v>
      </c>
      <c r="C12" s="115"/>
      <c r="D12" s="115"/>
      <c r="E12" s="115"/>
      <c r="F12" s="116"/>
      <c r="G12" s="24">
        <f>(G10+G11)*'Fane 12. Nøgletal'!C29</f>
        <v>234630.54977850651</v>
      </c>
      <c r="H12" s="14" t="s">
        <v>3</v>
      </c>
      <c r="I12" s="1"/>
    </row>
    <row r="13" spans="1:9" x14ac:dyDescent="0.25">
      <c r="A13" s="1"/>
      <c r="B13" s="50"/>
      <c r="C13" s="51"/>
      <c r="D13" s="51"/>
      <c r="E13" s="51"/>
      <c r="F13" s="51"/>
      <c r="G13" s="51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1" t="s">
        <v>56</v>
      </c>
      <c r="C15" s="112"/>
      <c r="D15" s="112"/>
      <c r="E15" s="112"/>
      <c r="F15" s="112"/>
      <c r="G15" s="112"/>
      <c r="H15" s="113"/>
      <c r="I15" s="1"/>
    </row>
    <row r="16" spans="1:9" x14ac:dyDescent="0.25">
      <c r="A16" s="1"/>
      <c r="B16" s="114" t="s">
        <v>48</v>
      </c>
      <c r="C16" s="115"/>
      <c r="D16" s="115"/>
      <c r="E16" s="115"/>
      <c r="F16" s="116"/>
      <c r="G16" s="24">
        <f>(G10+G11-G12)*(1+'Fane 12. Nøgletal'!C11)</f>
        <v>11691194.497418398</v>
      </c>
      <c r="H16" s="14" t="s">
        <v>3</v>
      </c>
      <c r="I16" s="1"/>
    </row>
    <row r="17" spans="1:9" x14ac:dyDescent="0.25">
      <c r="A17" s="1"/>
      <c r="B17" s="114" t="s">
        <v>125</v>
      </c>
      <c r="C17" s="115"/>
      <c r="D17" s="115"/>
      <c r="E17" s="115"/>
      <c r="F17" s="116"/>
      <c r="G17" s="9">
        <v>0</v>
      </c>
      <c r="H17" s="14" t="s">
        <v>3</v>
      </c>
      <c r="I17" s="1"/>
    </row>
    <row r="18" spans="1:9" x14ac:dyDescent="0.25">
      <c r="A18" s="1"/>
      <c r="B18" s="117" t="s">
        <v>49</v>
      </c>
      <c r="C18" s="118"/>
      <c r="D18" s="118"/>
      <c r="E18" s="118"/>
      <c r="F18" s="119"/>
      <c r="G18" s="9">
        <v>0</v>
      </c>
      <c r="H18" s="14" t="s">
        <v>3</v>
      </c>
      <c r="I18" s="1"/>
    </row>
    <row r="19" spans="1:9" x14ac:dyDescent="0.25">
      <c r="A19" s="1"/>
      <c r="B19" s="114" t="s">
        <v>50</v>
      </c>
      <c r="C19" s="115"/>
      <c r="D19" s="115"/>
      <c r="E19" s="115"/>
      <c r="F19" s="116"/>
      <c r="G19" s="24">
        <f>SUM(G16:G18)*'Fane 12. Nøgletal'!C29</f>
        <v>233823.88994836796</v>
      </c>
      <c r="H19" s="14" t="s">
        <v>3</v>
      </c>
      <c r="I19" s="1"/>
    </row>
    <row r="20" spans="1:9" x14ac:dyDescent="0.25">
      <c r="A20" s="1"/>
      <c r="B20" s="50"/>
      <c r="C20" s="51"/>
      <c r="D20" s="51"/>
      <c r="E20" s="51"/>
      <c r="F20" s="51"/>
      <c r="G20" s="51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1" t="s">
        <v>57</v>
      </c>
      <c r="C22" s="112"/>
      <c r="D22" s="112"/>
      <c r="E22" s="112"/>
      <c r="F22" s="112"/>
      <c r="G22" s="112"/>
      <c r="H22" s="113"/>
      <c r="I22" s="1"/>
    </row>
    <row r="23" spans="1:9" x14ac:dyDescent="0.25">
      <c r="A23" s="1"/>
      <c r="B23" s="114" t="s">
        <v>51</v>
      </c>
      <c r="C23" s="115"/>
      <c r="D23" s="115"/>
      <c r="E23" s="115"/>
      <c r="F23" s="116"/>
      <c r="G23" s="24">
        <f>(SUM(G16:G18)-G19)*(1+'Fane 12. Nøgletal'!C11)</f>
        <v>11651000.170736272</v>
      </c>
      <c r="H23" s="14" t="s">
        <v>3</v>
      </c>
      <c r="I23" s="1"/>
    </row>
    <row r="24" spans="1:9" x14ac:dyDescent="0.25">
      <c r="A24" s="1"/>
      <c r="B24" s="117" t="s">
        <v>52</v>
      </c>
      <c r="C24" s="118"/>
      <c r="D24" s="118"/>
      <c r="E24" s="118"/>
      <c r="F24" s="119"/>
      <c r="G24" s="9">
        <v>0</v>
      </c>
      <c r="H24" s="14" t="s">
        <v>3</v>
      </c>
      <c r="I24" s="1"/>
    </row>
    <row r="25" spans="1:9" x14ac:dyDescent="0.25">
      <c r="A25" s="1"/>
      <c r="B25" s="114" t="s">
        <v>53</v>
      </c>
      <c r="C25" s="115"/>
      <c r="D25" s="115"/>
      <c r="E25" s="115"/>
      <c r="F25" s="116"/>
      <c r="G25" s="24">
        <f>(G23+G24)*'Fane 12. Nøgletal'!C29</f>
        <v>233020.00341472545</v>
      </c>
      <c r="H25" s="14" t="s">
        <v>3</v>
      </c>
      <c r="I25" s="1"/>
    </row>
    <row r="26" spans="1:9" x14ac:dyDescent="0.25">
      <c r="A26" s="1"/>
      <c r="B26" s="50"/>
      <c r="C26" s="51"/>
      <c r="D26" s="51"/>
      <c r="E26" s="51"/>
      <c r="F26" s="51"/>
      <c r="G26" s="51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1" t="s">
        <v>175</v>
      </c>
      <c r="C28" s="112"/>
      <c r="D28" s="112"/>
      <c r="E28" s="112"/>
      <c r="F28" s="112"/>
      <c r="G28" s="112"/>
      <c r="H28" s="113"/>
      <c r="I28" s="1"/>
    </row>
    <row r="29" spans="1:9" x14ac:dyDescent="0.25">
      <c r="A29" s="1"/>
      <c r="B29" s="114" t="s">
        <v>60</v>
      </c>
      <c r="C29" s="115"/>
      <c r="D29" s="115"/>
      <c r="E29" s="115"/>
      <c r="F29" s="116"/>
      <c r="G29" s="24">
        <f>(G23+G24-G25)*(1+'Fane 12. Nøgletal'!C13)</f>
        <v>11557279.525362868</v>
      </c>
      <c r="H29" s="14" t="s">
        <v>3</v>
      </c>
      <c r="I29" s="1"/>
    </row>
    <row r="30" spans="1:9" x14ac:dyDescent="0.25">
      <c r="A30" s="1"/>
      <c r="B30" s="114" t="s">
        <v>147</v>
      </c>
      <c r="C30" s="115"/>
      <c r="D30" s="115"/>
      <c r="E30" s="115"/>
      <c r="F30" s="116"/>
      <c r="G30" s="9">
        <f>SUM('Fane 3. Omkostninger i ØR2021'!E10,'Fane 3. Omkostninger i ØR2021'!E12,'Fane 3. Omkostninger i ØR2021'!E14)*(1+'Fane 12. Nøgletal'!C13)</f>
        <v>0</v>
      </c>
      <c r="H30" s="14" t="s">
        <v>3</v>
      </c>
      <c r="I30" s="1"/>
    </row>
    <row r="31" spans="1:9" x14ac:dyDescent="0.25">
      <c r="A31" s="1"/>
      <c r="B31" s="114" t="s">
        <v>159</v>
      </c>
      <c r="C31" s="115"/>
      <c r="D31" s="115"/>
      <c r="E31" s="115"/>
      <c r="F31" s="116"/>
      <c r="G31" s="24">
        <f>(G29+G30)*'Fane 12. Nøgletal'!C29</f>
        <v>231145.59050725735</v>
      </c>
      <c r="H31" s="14" t="s">
        <v>3</v>
      </c>
      <c r="I31" s="1"/>
    </row>
    <row r="32" spans="1:9" x14ac:dyDescent="0.25">
      <c r="A32" s="1"/>
      <c r="B32" s="50"/>
      <c r="C32" s="51"/>
      <c r="D32" s="51"/>
      <c r="E32" s="51"/>
      <c r="F32" s="51"/>
      <c r="G32" s="51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1" t="s">
        <v>176</v>
      </c>
      <c r="C34" s="112"/>
      <c r="D34" s="112"/>
      <c r="E34" s="112"/>
      <c r="F34" s="112"/>
      <c r="G34" s="112"/>
      <c r="H34" s="113"/>
      <c r="I34" s="1"/>
    </row>
    <row r="35" spans="1:9" x14ac:dyDescent="0.25">
      <c r="A35" s="1"/>
      <c r="B35" s="114" t="s">
        <v>80</v>
      </c>
      <c r="C35" s="115"/>
      <c r="D35" s="115"/>
      <c r="E35" s="115"/>
      <c r="F35" s="116"/>
      <c r="G35" s="24">
        <f>(G29+G30-G31)*(1+'Fane 12. Nøgletal'!C13)</f>
        <v>11464312.768860849</v>
      </c>
      <c r="H35" s="14" t="s">
        <v>3</v>
      </c>
      <c r="I35" s="1"/>
    </row>
    <row r="36" spans="1:9" x14ac:dyDescent="0.25">
      <c r="A36" s="1"/>
      <c r="B36" s="37" t="s">
        <v>192</v>
      </c>
      <c r="C36" s="57"/>
      <c r="D36" s="57"/>
      <c r="E36" s="57"/>
      <c r="F36" s="58"/>
      <c r="G36" s="9">
        <f>SUM('Fane 2.1. Økonomisk ramme 2022'!C10)*(1+'Fane 12. Nøgletal'!C14)</f>
        <v>0</v>
      </c>
      <c r="H36" s="14" t="s">
        <v>3</v>
      </c>
      <c r="I36" s="1"/>
    </row>
    <row r="37" spans="1:9" x14ac:dyDescent="0.25">
      <c r="A37" s="1"/>
      <c r="B37" s="114" t="s">
        <v>221</v>
      </c>
      <c r="C37" s="115"/>
      <c r="D37" s="115"/>
      <c r="E37" s="115"/>
      <c r="F37" s="116"/>
      <c r="G37" s="9">
        <f>SUM('Fane 2.1. Økonomisk ramme 2022'!C12,'Fane 2.1. Økonomisk ramme 2022'!C14,'Fane 2.1. Økonomisk ramme 2022'!C16)*(1+'Fane 12. Nøgletal'!C14)</f>
        <v>0</v>
      </c>
      <c r="H37" s="14" t="s">
        <v>3</v>
      </c>
      <c r="I37" s="1"/>
    </row>
    <row r="38" spans="1:9" x14ac:dyDescent="0.25">
      <c r="A38" s="1"/>
      <c r="B38" s="114" t="s">
        <v>177</v>
      </c>
      <c r="C38" s="115"/>
      <c r="D38" s="115"/>
      <c r="E38" s="115"/>
      <c r="F38" s="116"/>
      <c r="G38" s="24">
        <f>(G35+G37)*'Fane 12. Nøgletal'!C29</f>
        <v>229286.25537721696</v>
      </c>
      <c r="H38" s="14" t="s">
        <v>3</v>
      </c>
      <c r="I38" s="1"/>
    </row>
    <row r="39" spans="1:9" x14ac:dyDescent="0.25">
      <c r="A39" s="1"/>
      <c r="B39" s="50"/>
      <c r="C39" s="51"/>
      <c r="D39" s="51"/>
      <c r="E39" s="51"/>
      <c r="F39" s="51"/>
      <c r="G39" s="51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1" t="s">
        <v>81</v>
      </c>
      <c r="C41" s="112"/>
      <c r="D41" s="112"/>
      <c r="E41" s="112"/>
      <c r="F41" s="112"/>
      <c r="G41" s="112"/>
      <c r="H41" s="113"/>
      <c r="I41" s="1"/>
    </row>
    <row r="42" spans="1:9" x14ac:dyDescent="0.25">
      <c r="A42" s="1"/>
      <c r="B42" s="114" t="s">
        <v>79</v>
      </c>
      <c r="C42" s="115"/>
      <c r="D42" s="115"/>
      <c r="E42" s="115"/>
      <c r="F42" s="116"/>
      <c r="G42" s="24">
        <f>(G35+G37-G38)*(1+'Fane 12. Nøgletal'!C14)</f>
        <v>11272102.100978129</v>
      </c>
      <c r="H42" s="14" t="s">
        <v>3</v>
      </c>
      <c r="I42" s="1"/>
    </row>
    <row r="43" spans="1:9" x14ac:dyDescent="0.25">
      <c r="A43" s="1"/>
      <c r="B43" s="114" t="s">
        <v>92</v>
      </c>
      <c r="C43" s="115"/>
      <c r="D43" s="115"/>
      <c r="E43" s="115"/>
      <c r="F43" s="116"/>
      <c r="G43" s="9">
        <f>-'Fane 11. Bortfald'!C19*(1+'Fane 12. Nøgletal'!C14)</f>
        <v>0</v>
      </c>
      <c r="H43" s="14" t="s">
        <v>3</v>
      </c>
      <c r="I43" s="1"/>
    </row>
    <row r="44" spans="1:9" x14ac:dyDescent="0.25">
      <c r="A44" s="1"/>
      <c r="B44" s="114" t="s">
        <v>61</v>
      </c>
      <c r="C44" s="115"/>
      <c r="D44" s="115"/>
      <c r="E44" s="115"/>
      <c r="F44" s="116"/>
      <c r="G44" s="24">
        <f>(G42+G43)*'Fane 12. Nøgletal'!C29</f>
        <v>225442.04201956256</v>
      </c>
      <c r="H44" s="14" t="s">
        <v>3</v>
      </c>
      <c r="I44" s="1"/>
    </row>
    <row r="45" spans="1:9" x14ac:dyDescent="0.25">
      <c r="A45" s="1"/>
      <c r="B45" s="50"/>
      <c r="C45" s="51"/>
      <c r="D45" s="51"/>
      <c r="E45" s="51"/>
      <c r="F45" s="51"/>
      <c r="G45" s="51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1" t="s">
        <v>148</v>
      </c>
      <c r="C47" s="112"/>
      <c r="D47" s="112"/>
      <c r="E47" s="112"/>
      <c r="F47" s="112"/>
      <c r="G47" s="112"/>
      <c r="H47" s="113"/>
      <c r="I47" s="1"/>
    </row>
    <row r="48" spans="1:9" x14ac:dyDescent="0.25">
      <c r="A48" s="1"/>
      <c r="B48" s="114" t="s">
        <v>149</v>
      </c>
      <c r="C48" s="115"/>
      <c r="D48" s="115"/>
      <c r="E48" s="115"/>
      <c r="F48" s="116"/>
      <c r="G48" s="24">
        <f>(G42+G43-G44)*(1+'Fane 12. Nøgletal'!C14)</f>
        <v>11083114.03715313</v>
      </c>
      <c r="H48" s="14" t="s">
        <v>3</v>
      </c>
      <c r="I48" s="1"/>
    </row>
    <row r="49" spans="1:9" x14ac:dyDescent="0.25">
      <c r="A49" s="1"/>
      <c r="B49" s="114" t="s">
        <v>150</v>
      </c>
      <c r="C49" s="115"/>
      <c r="D49" s="115"/>
      <c r="E49" s="115"/>
      <c r="F49" s="116"/>
      <c r="G49" s="9">
        <f>-'Fane 11. Bortfald'!C26*(1+'Fane 12. Nøgletal'!C14)</f>
        <v>0</v>
      </c>
      <c r="H49" s="14" t="s">
        <v>3</v>
      </c>
      <c r="I49" s="1"/>
    </row>
    <row r="50" spans="1:9" x14ac:dyDescent="0.25">
      <c r="A50" s="1"/>
      <c r="B50" s="114" t="s">
        <v>151</v>
      </c>
      <c r="C50" s="115"/>
      <c r="D50" s="115"/>
      <c r="E50" s="115"/>
      <c r="F50" s="116"/>
      <c r="G50" s="24">
        <f>(G48+G49)*'Fane 12. Nøgletal'!C29</f>
        <v>221662.28074306261</v>
      </c>
      <c r="H50" s="14" t="s">
        <v>3</v>
      </c>
      <c r="I50" s="1"/>
    </row>
    <row r="51" spans="1:9" x14ac:dyDescent="0.25">
      <c r="A51" s="1"/>
      <c r="B51" s="50"/>
      <c r="C51" s="51"/>
      <c r="D51" s="51"/>
      <c r="E51" s="51"/>
      <c r="F51" s="51"/>
      <c r="G51" s="51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1" t="s">
        <v>198</v>
      </c>
      <c r="C53" s="112"/>
      <c r="D53" s="112"/>
      <c r="E53" s="112"/>
      <c r="F53" s="112"/>
      <c r="G53" s="112"/>
      <c r="H53" s="113"/>
      <c r="I53" s="1"/>
    </row>
    <row r="54" spans="1:9" x14ac:dyDescent="0.25">
      <c r="A54" s="1"/>
      <c r="B54" s="114" t="s">
        <v>199</v>
      </c>
      <c r="C54" s="115"/>
      <c r="D54" s="115"/>
      <c r="E54" s="115"/>
      <c r="F54" s="116"/>
      <c r="G54" s="24">
        <f>(G48+G49-G50)*(1+'Fane 12. Nøgletal'!C14)</f>
        <v>10897294.547206221</v>
      </c>
      <c r="H54" s="14" t="s">
        <v>3</v>
      </c>
      <c r="I54" s="1"/>
    </row>
    <row r="55" spans="1:9" x14ac:dyDescent="0.25">
      <c r="A55" s="1"/>
      <c r="B55" s="114" t="s">
        <v>200</v>
      </c>
      <c r="C55" s="115"/>
      <c r="D55" s="115"/>
      <c r="E55" s="115"/>
      <c r="F55" s="116"/>
      <c r="G55" s="9">
        <f>-'Fane 11. Bortfald'!C33*(1+'Fane 12. Nøgletal'!C14)</f>
        <v>0</v>
      </c>
      <c r="H55" s="14" t="s">
        <v>3</v>
      </c>
      <c r="I55" s="1"/>
    </row>
    <row r="56" spans="1:9" x14ac:dyDescent="0.25">
      <c r="A56" s="1"/>
      <c r="B56" s="114" t="s">
        <v>201</v>
      </c>
      <c r="C56" s="115"/>
      <c r="D56" s="115"/>
      <c r="E56" s="115"/>
      <c r="F56" s="116"/>
      <c r="G56" s="24">
        <f>(G54+G55)*'Fane 12. Nøgletal'!C29</f>
        <v>217945.89094412443</v>
      </c>
      <c r="H56" s="14" t="s">
        <v>3</v>
      </c>
      <c r="I56" s="1"/>
    </row>
    <row r="57" spans="1:9" x14ac:dyDescent="0.25">
      <c r="A57" s="1"/>
      <c r="B57" s="50"/>
      <c r="C57" s="51"/>
      <c r="D57" s="51"/>
      <c r="E57" s="51"/>
      <c r="F57" s="51"/>
      <c r="G57" s="51"/>
      <c r="H57" s="20"/>
      <c r="I57" s="1"/>
    </row>
  </sheetData>
  <sheetProtection algorithmName="SHA-512" hashValue="BuHua8miEJJHaqvDezSoBWUQ92ixUHNwBGEjJ1YmwE/Avr47I/zUDgh+XB7b8e+3udRenaa+1IIQcC/plLeFZg==" saltValue="0YiBXDNlRD58zeLbnfU1oA==" spinCount="100000" sheet="1" objects="1" scenarios="1"/>
  <mergeCells count="37"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  <mergeCell ref="B25:F25"/>
    <mergeCell ref="B35:F35"/>
    <mergeCell ref="B30:F30"/>
    <mergeCell ref="B31:F31"/>
    <mergeCell ref="B22:H22"/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9" style="2" customWidth="1"/>
    <col min="9" max="9" width="6.7109375" style="2" customWidth="1"/>
    <col min="10" max="16384" width="9.140625" style="2"/>
  </cols>
  <sheetData>
    <row r="1" spans="1:9" x14ac:dyDescent="0.25">
      <c r="A1" s="1"/>
      <c r="B1" s="120" t="s">
        <v>116</v>
      </c>
      <c r="C1" s="121"/>
      <c r="D1" s="121"/>
      <c r="E1" s="121"/>
      <c r="F1" s="121"/>
      <c r="G1" s="121"/>
      <c r="H1" s="121"/>
      <c r="I1" s="1"/>
    </row>
    <row r="2" spans="1:9" ht="19.899999999999999" customHeight="1" x14ac:dyDescent="0.25">
      <c r="A2" s="1"/>
      <c r="B2" s="121"/>
      <c r="C2" s="121"/>
      <c r="D2" s="121"/>
      <c r="E2" s="121"/>
      <c r="F2" s="121"/>
      <c r="G2" s="121"/>
      <c r="H2" s="121"/>
      <c r="I2" s="1"/>
    </row>
    <row r="3" spans="1:9" ht="15" customHeight="1" x14ac:dyDescent="0.25">
      <c r="A3" s="1"/>
      <c r="B3" s="122"/>
      <c r="C3" s="122"/>
      <c r="D3" s="122"/>
      <c r="E3" s="122"/>
      <c r="F3" s="122"/>
      <c r="G3" s="122"/>
      <c r="H3" s="122"/>
      <c r="I3" s="1"/>
    </row>
    <row r="4" spans="1:9" x14ac:dyDescent="0.25">
      <c r="A4" s="1"/>
      <c r="B4" s="111" t="s">
        <v>58</v>
      </c>
      <c r="C4" s="112"/>
      <c r="D4" s="112"/>
      <c r="E4" s="112"/>
      <c r="F4" s="112"/>
      <c r="G4" s="112"/>
      <c r="H4" s="113"/>
      <c r="I4" s="1"/>
    </row>
    <row r="5" spans="1:9" x14ac:dyDescent="0.25">
      <c r="A5" s="1"/>
      <c r="B5" s="114" t="s">
        <v>62</v>
      </c>
      <c r="C5" s="115"/>
      <c r="D5" s="115"/>
      <c r="E5" s="115"/>
      <c r="F5" s="116"/>
      <c r="G5" s="24">
        <v>6891332.6475916887</v>
      </c>
      <c r="H5" s="14" t="s">
        <v>3</v>
      </c>
      <c r="I5" s="1"/>
    </row>
    <row r="6" spans="1:9" x14ac:dyDescent="0.25">
      <c r="A6" s="1"/>
      <c r="B6" s="114" t="s">
        <v>59</v>
      </c>
      <c r="C6" s="115"/>
      <c r="D6" s="115"/>
      <c r="E6" s="115"/>
      <c r="F6" s="116"/>
      <c r="G6" s="24">
        <f>G5*'Fane 12. Nøgletal'!C19</f>
        <v>62711.127093084368</v>
      </c>
      <c r="H6" s="14" t="s">
        <v>3</v>
      </c>
      <c r="I6" s="1"/>
    </row>
    <row r="7" spans="1:9" x14ac:dyDescent="0.25">
      <c r="A7" s="1"/>
      <c r="B7" s="50"/>
      <c r="C7" s="51"/>
      <c r="D7" s="51"/>
      <c r="E7" s="51"/>
      <c r="F7" s="51"/>
      <c r="G7" s="51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1" t="s">
        <v>63</v>
      </c>
      <c r="C9" s="112"/>
      <c r="D9" s="112"/>
      <c r="E9" s="112"/>
      <c r="F9" s="112"/>
      <c r="G9" s="112"/>
      <c r="H9" s="113"/>
      <c r="I9" s="1"/>
    </row>
    <row r="10" spans="1:9" x14ac:dyDescent="0.25">
      <c r="A10" s="1"/>
      <c r="B10" s="114" t="s">
        <v>64</v>
      </c>
      <c r="C10" s="115"/>
      <c r="D10" s="115"/>
      <c r="E10" s="115"/>
      <c r="F10" s="116"/>
      <c r="G10" s="24">
        <f>(G5-G6)*(1+'Fane 12. Nøgletal'!C9)</f>
        <v>6915345.0138089359</v>
      </c>
      <c r="H10" s="14" t="s">
        <v>3</v>
      </c>
      <c r="I10" s="1"/>
    </row>
    <row r="11" spans="1:9" x14ac:dyDescent="0.25">
      <c r="A11" s="1"/>
      <c r="B11" s="117" t="s">
        <v>65</v>
      </c>
      <c r="C11" s="118"/>
      <c r="D11" s="118"/>
      <c r="E11" s="118"/>
      <c r="F11" s="119"/>
      <c r="G11" s="9">
        <v>0</v>
      </c>
      <c r="H11" s="14" t="s">
        <v>3</v>
      </c>
      <c r="I11" s="1"/>
    </row>
    <row r="12" spans="1:9" x14ac:dyDescent="0.25">
      <c r="A12" s="1"/>
      <c r="B12" s="114" t="s">
        <v>66</v>
      </c>
      <c r="C12" s="115"/>
      <c r="D12" s="115"/>
      <c r="E12" s="115"/>
      <c r="F12" s="116"/>
      <c r="G12" s="24">
        <f>G10*'Fane 12. Nøgletal'!C19+G11*'Fane 12. Nøgletal'!C20</f>
        <v>62929.639625661322</v>
      </c>
      <c r="H12" s="14" t="s">
        <v>3</v>
      </c>
      <c r="I12" s="1"/>
    </row>
    <row r="13" spans="1:9" x14ac:dyDescent="0.25">
      <c r="A13" s="1"/>
      <c r="B13" s="50"/>
      <c r="C13" s="51"/>
      <c r="D13" s="51"/>
      <c r="E13" s="51"/>
      <c r="F13" s="51"/>
      <c r="G13" s="51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1" t="s">
        <v>67</v>
      </c>
      <c r="C15" s="112"/>
      <c r="D15" s="112"/>
      <c r="E15" s="112"/>
      <c r="F15" s="112"/>
      <c r="G15" s="112"/>
      <c r="H15" s="113"/>
      <c r="I15" s="1"/>
    </row>
    <row r="16" spans="1:9" x14ac:dyDescent="0.25">
      <c r="A16" s="1"/>
      <c r="B16" s="114" t="s">
        <v>68</v>
      </c>
      <c r="C16" s="115"/>
      <c r="D16" s="115"/>
      <c r="E16" s="115"/>
      <c r="F16" s="116"/>
      <c r="G16" s="24">
        <f>(G10+G11-G12)*(1+'Fane 12. Nøgletal'!C11)</f>
        <v>6968221.194006972</v>
      </c>
      <c r="H16" s="14" t="s">
        <v>3</v>
      </c>
      <c r="I16" s="1"/>
    </row>
    <row r="17" spans="1:9" x14ac:dyDescent="0.25">
      <c r="A17" s="1"/>
      <c r="B17" s="114" t="s">
        <v>126</v>
      </c>
      <c r="C17" s="115"/>
      <c r="D17" s="115"/>
      <c r="E17" s="115"/>
      <c r="F17" s="116"/>
      <c r="G17" s="24">
        <v>-65791.358830052399</v>
      </c>
      <c r="H17" s="14" t="s">
        <v>3</v>
      </c>
      <c r="I17" s="1"/>
    </row>
    <row r="18" spans="1:9" x14ac:dyDescent="0.25">
      <c r="A18" s="1"/>
      <c r="B18" s="117" t="s">
        <v>69</v>
      </c>
      <c r="C18" s="118"/>
      <c r="D18" s="118"/>
      <c r="E18" s="118"/>
      <c r="F18" s="119"/>
      <c r="G18" s="24">
        <v>108009.20787888998</v>
      </c>
      <c r="H18" s="14" t="s">
        <v>3</v>
      </c>
      <c r="I18" s="1"/>
    </row>
    <row r="19" spans="1:9" x14ac:dyDescent="0.25">
      <c r="A19" s="1"/>
      <c r="B19" s="114" t="s">
        <v>70</v>
      </c>
      <c r="C19" s="115"/>
      <c r="D19" s="115"/>
      <c r="E19" s="115"/>
      <c r="F19" s="116"/>
      <c r="G19" s="24">
        <f>(G16+G17+G18)*'Fane 12. Nøgletal'!C21</f>
        <v>60990.819674585546</v>
      </c>
      <c r="H19" s="14" t="s">
        <v>3</v>
      </c>
      <c r="I19" s="1"/>
    </row>
    <row r="20" spans="1:9" x14ac:dyDescent="0.25">
      <c r="A20" s="1"/>
      <c r="B20" s="50"/>
      <c r="C20" s="51"/>
      <c r="D20" s="51"/>
      <c r="E20" s="51"/>
      <c r="F20" s="51"/>
      <c r="G20" s="51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1" t="s">
        <v>71</v>
      </c>
      <c r="C22" s="112"/>
      <c r="D22" s="112"/>
      <c r="E22" s="112"/>
      <c r="F22" s="112"/>
      <c r="G22" s="112"/>
      <c r="H22" s="113"/>
      <c r="I22" s="1"/>
    </row>
    <row r="23" spans="1:9" x14ac:dyDescent="0.25">
      <c r="A23" s="1"/>
      <c r="B23" s="114" t="s">
        <v>72</v>
      </c>
      <c r="C23" s="115"/>
      <c r="D23" s="115"/>
      <c r="E23" s="115"/>
      <c r="F23" s="116"/>
      <c r="G23" s="24">
        <f>(SUM(G16:G18)-G19)*(1+'Fane 12. Nøgletal'!C11)</f>
        <v>7066893.898356366</v>
      </c>
      <c r="H23" s="14" t="s">
        <v>3</v>
      </c>
      <c r="I23" s="1"/>
    </row>
    <row r="24" spans="1:9" x14ac:dyDescent="0.25">
      <c r="A24" s="1"/>
      <c r="B24" s="117" t="s">
        <v>73</v>
      </c>
      <c r="C24" s="118"/>
      <c r="D24" s="118"/>
      <c r="E24" s="118"/>
      <c r="F24" s="119"/>
      <c r="G24" s="24">
        <v>722938.56029594108</v>
      </c>
      <c r="H24" s="14" t="s">
        <v>3</v>
      </c>
      <c r="I24" s="1"/>
    </row>
    <row r="25" spans="1:9" x14ac:dyDescent="0.25">
      <c r="A25" s="1"/>
      <c r="B25" s="114" t="s">
        <v>74</v>
      </c>
      <c r="C25" s="115"/>
      <c r="D25" s="115"/>
      <c r="E25" s="115"/>
      <c r="F25" s="116"/>
      <c r="G25" s="24">
        <f>G23*'Fane 12. Nøgletal'!C21+G24*'Fane 12. Nøgletal'!C22</f>
        <v>82013.432028105104</v>
      </c>
      <c r="H25" s="14" t="s">
        <v>3</v>
      </c>
      <c r="I25" s="1"/>
    </row>
    <row r="26" spans="1:9" x14ac:dyDescent="0.25">
      <c r="A26" s="1"/>
      <c r="B26" s="50"/>
      <c r="C26" s="51"/>
      <c r="D26" s="51"/>
      <c r="E26" s="51"/>
      <c r="F26" s="51"/>
      <c r="G26" s="51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1" t="s">
        <v>173</v>
      </c>
      <c r="C28" s="112"/>
      <c r="D28" s="112"/>
      <c r="E28" s="112"/>
      <c r="F28" s="112"/>
      <c r="G28" s="112"/>
      <c r="H28" s="113"/>
      <c r="I28" s="1"/>
    </row>
    <row r="29" spans="1:9" x14ac:dyDescent="0.25">
      <c r="A29" s="1"/>
      <c r="B29" s="114" t="s">
        <v>75</v>
      </c>
      <c r="C29" s="115"/>
      <c r="D29" s="115"/>
      <c r="E29" s="115"/>
      <c r="F29" s="116"/>
      <c r="G29" s="24">
        <f>(G23+G24-G25)*(1+'Fane 12. Nøgletal'!C13)</f>
        <v>7801854.4187490167</v>
      </c>
      <c r="H29" s="14" t="s">
        <v>3</v>
      </c>
      <c r="I29" s="1"/>
    </row>
    <row r="30" spans="1:9" x14ac:dyDescent="0.25">
      <c r="A30" s="1"/>
      <c r="B30" s="114" t="s">
        <v>152</v>
      </c>
      <c r="C30" s="115"/>
      <c r="D30" s="115"/>
      <c r="E30" s="115"/>
      <c r="F30" s="116"/>
      <c r="G30" s="24">
        <v>407242.7956674</v>
      </c>
      <c r="H30" s="14" t="s">
        <v>3</v>
      </c>
      <c r="I30" s="1"/>
    </row>
    <row r="31" spans="1:9" x14ac:dyDescent="0.25">
      <c r="A31" s="1"/>
      <c r="B31" s="114" t="s">
        <v>174</v>
      </c>
      <c r="C31" s="115"/>
      <c r="D31" s="115"/>
      <c r="E31" s="115"/>
      <c r="F31" s="116"/>
      <c r="G31" s="24">
        <f>(G29+G30)*'Fane 12. Nøgletal'!C23</f>
        <v>225750.17339645146</v>
      </c>
      <c r="H31" s="14" t="s">
        <v>3</v>
      </c>
      <c r="I31" s="1"/>
    </row>
    <row r="32" spans="1:9" x14ac:dyDescent="0.25">
      <c r="A32" s="1"/>
      <c r="B32" s="50"/>
      <c r="C32" s="51"/>
      <c r="D32" s="51"/>
      <c r="E32" s="51"/>
      <c r="F32" s="51"/>
      <c r="G32" s="51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1" t="s">
        <v>178</v>
      </c>
      <c r="C34" s="112"/>
      <c r="D34" s="112"/>
      <c r="E34" s="112"/>
      <c r="F34" s="112"/>
      <c r="G34" s="112"/>
      <c r="H34" s="113"/>
      <c r="I34" s="1"/>
    </row>
    <row r="35" spans="1:9" x14ac:dyDescent="0.25">
      <c r="A35" s="1"/>
      <c r="B35" s="114" t="s">
        <v>78</v>
      </c>
      <c r="C35" s="115"/>
      <c r="D35" s="115"/>
      <c r="E35" s="115"/>
      <c r="F35" s="116"/>
      <c r="G35" s="24">
        <f>(G29+G30-G31)*(1+'Fane 12. Nøgletal'!C13)</f>
        <v>8080743.8749204082</v>
      </c>
      <c r="H35" s="14" t="s">
        <v>3</v>
      </c>
      <c r="I35" s="1"/>
    </row>
    <row r="36" spans="1:9" s="41" customFormat="1" x14ac:dyDescent="0.25">
      <c r="A36" s="38"/>
      <c r="B36" s="37" t="s">
        <v>222</v>
      </c>
      <c r="C36" s="39"/>
      <c r="D36" s="39"/>
      <c r="E36" s="39"/>
      <c r="F36" s="40"/>
      <c r="G36" s="42">
        <f>SUM('Fane 2.1. Økonomisk ramme 2022'!C11)*(1+'Fane 12. Nøgletal'!C14)</f>
        <v>393695.20139894815</v>
      </c>
      <c r="H36" s="14" t="s">
        <v>3</v>
      </c>
      <c r="I36" s="38"/>
    </row>
    <row r="37" spans="1:9" x14ac:dyDescent="0.25">
      <c r="A37" s="1"/>
      <c r="B37" s="114" t="s">
        <v>193</v>
      </c>
      <c r="C37" s="115"/>
      <c r="D37" s="115"/>
      <c r="E37" s="115"/>
      <c r="F37" s="116"/>
      <c r="G37" s="9">
        <f>SUM('Fane 2.1. Økonomisk ramme 2022'!C13,'Fane 2.1. Økonomisk ramme 2022'!C15,'Fane 2.1. Økonomisk ramme 2022'!C17)*(1+'Fane 12. Nøgletal'!C14)</f>
        <v>0</v>
      </c>
      <c r="H37" s="14" t="s">
        <v>3</v>
      </c>
      <c r="I37" s="1"/>
    </row>
    <row r="38" spans="1:9" x14ac:dyDescent="0.25">
      <c r="A38" s="1"/>
      <c r="B38" s="114" t="s">
        <v>179</v>
      </c>
      <c r="C38" s="115"/>
      <c r="D38" s="115"/>
      <c r="E38" s="115"/>
      <c r="F38" s="116"/>
      <c r="G38" s="24">
        <f>G35*'Fane 12. Nøgletal'!C23+G37*'Fane 12. Nøgletal'!C24</f>
        <v>222220.45656031123</v>
      </c>
      <c r="H38" s="14" t="s">
        <v>3</v>
      </c>
      <c r="I38" s="1"/>
    </row>
    <row r="39" spans="1:9" x14ac:dyDescent="0.25">
      <c r="A39" s="1"/>
      <c r="B39" s="50"/>
      <c r="C39" s="51"/>
      <c r="D39" s="51"/>
      <c r="E39" s="51"/>
      <c r="F39" s="51"/>
      <c r="G39" s="51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1" t="s">
        <v>82</v>
      </c>
      <c r="C41" s="112"/>
      <c r="D41" s="112"/>
      <c r="E41" s="112"/>
      <c r="F41" s="112"/>
      <c r="G41" s="112"/>
      <c r="H41" s="113"/>
      <c r="I41" s="1"/>
    </row>
    <row r="42" spans="1:9" x14ac:dyDescent="0.25">
      <c r="A42" s="1"/>
      <c r="B42" s="114" t="s">
        <v>77</v>
      </c>
      <c r="C42" s="115"/>
      <c r="D42" s="115"/>
      <c r="E42" s="115"/>
      <c r="F42" s="116"/>
      <c r="G42" s="24">
        <f>(G35+G37-G38)*(1+'Fane 12. Nøgletal'!C14)</f>
        <v>7884456.5456406865</v>
      </c>
      <c r="H42" s="14" t="s">
        <v>3</v>
      </c>
      <c r="I42" s="1"/>
    </row>
    <row r="43" spans="1:9" x14ac:dyDescent="0.25">
      <c r="A43" s="1"/>
      <c r="B43" s="114" t="s">
        <v>96</v>
      </c>
      <c r="C43" s="115"/>
      <c r="D43" s="115"/>
      <c r="E43" s="115"/>
      <c r="F43" s="116"/>
      <c r="G43" s="9">
        <f>-'Fane 11. Bortfald'!E19*(1+'Fane 12. Nøgletal'!C14)</f>
        <v>0</v>
      </c>
      <c r="H43" s="14" t="s">
        <v>3</v>
      </c>
      <c r="I43" s="1"/>
    </row>
    <row r="44" spans="1:9" x14ac:dyDescent="0.25">
      <c r="A44" s="1"/>
      <c r="B44" s="114" t="s">
        <v>76</v>
      </c>
      <c r="C44" s="115"/>
      <c r="D44" s="115"/>
      <c r="E44" s="115"/>
      <c r="F44" s="116"/>
      <c r="G44" s="24">
        <f>(G42+G43)*'Fane 12. Nøgletal'!C24</f>
        <v>116689.95687548217</v>
      </c>
      <c r="H44" s="14" t="s">
        <v>3</v>
      </c>
      <c r="I44" s="1"/>
    </row>
    <row r="45" spans="1:9" x14ac:dyDescent="0.25">
      <c r="A45" s="1"/>
      <c r="B45" s="50"/>
      <c r="C45" s="51"/>
      <c r="D45" s="51"/>
      <c r="E45" s="51"/>
      <c r="F45" s="51"/>
      <c r="G45" s="51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1" t="s">
        <v>153</v>
      </c>
      <c r="C47" s="112"/>
      <c r="D47" s="112"/>
      <c r="E47" s="112"/>
      <c r="F47" s="112"/>
      <c r="G47" s="112"/>
      <c r="H47" s="113"/>
      <c r="I47" s="1"/>
    </row>
    <row r="48" spans="1:9" x14ac:dyDescent="0.25">
      <c r="A48" s="1"/>
      <c r="B48" s="114" t="s">
        <v>154</v>
      </c>
      <c r="C48" s="115"/>
      <c r="D48" s="115"/>
      <c r="E48" s="115"/>
      <c r="F48" s="116"/>
      <c r="G48" s="24">
        <f>(G42+G43-G44)*(1+'Fane 12. Nøgletal'!C14)</f>
        <v>7793400.2185081299</v>
      </c>
      <c r="H48" s="14" t="s">
        <v>3</v>
      </c>
      <c r="I48" s="1"/>
    </row>
    <row r="49" spans="1:9" x14ac:dyDescent="0.25">
      <c r="A49" s="1"/>
      <c r="B49" s="114" t="s">
        <v>155</v>
      </c>
      <c r="C49" s="115"/>
      <c r="D49" s="115"/>
      <c r="E49" s="115"/>
      <c r="F49" s="116"/>
      <c r="G49" s="9">
        <f>-'Fane 11. Bortfald'!E26*(1+'Fane 12. Nøgletal'!C13)</f>
        <v>0</v>
      </c>
      <c r="H49" s="14" t="s">
        <v>3</v>
      </c>
      <c r="I49" s="1"/>
    </row>
    <row r="50" spans="1:9" x14ac:dyDescent="0.25">
      <c r="A50" s="1"/>
      <c r="B50" s="114" t="s">
        <v>156</v>
      </c>
      <c r="C50" s="115"/>
      <c r="D50" s="115"/>
      <c r="E50" s="115"/>
      <c r="F50" s="116"/>
      <c r="G50" s="24">
        <f>(G48+G49)*'Fane 12. Nøgletal'!C24</f>
        <v>115342.32323392032</v>
      </c>
      <c r="H50" s="14" t="s">
        <v>3</v>
      </c>
      <c r="I50" s="1"/>
    </row>
    <row r="51" spans="1:9" x14ac:dyDescent="0.25">
      <c r="A51" s="1"/>
      <c r="B51" s="50"/>
      <c r="C51" s="51"/>
      <c r="D51" s="51"/>
      <c r="E51" s="51"/>
      <c r="F51" s="51"/>
      <c r="G51" s="51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1" t="s">
        <v>194</v>
      </c>
      <c r="C53" s="112"/>
      <c r="D53" s="112"/>
      <c r="E53" s="112"/>
      <c r="F53" s="112"/>
      <c r="G53" s="112"/>
      <c r="H53" s="113"/>
      <c r="I53" s="1"/>
    </row>
    <row r="54" spans="1:9" x14ac:dyDescent="0.25">
      <c r="A54" s="1"/>
      <c r="B54" s="114" t="s">
        <v>195</v>
      </c>
      <c r="C54" s="115"/>
      <c r="D54" s="115"/>
      <c r="E54" s="115"/>
      <c r="F54" s="116"/>
      <c r="G54" s="24">
        <f>(G48+G49-G50)*(1+'Fane 12. Nøgletal'!C14)</f>
        <v>7703395.4863286149</v>
      </c>
      <c r="H54" s="14" t="s">
        <v>3</v>
      </c>
      <c r="I54" s="1"/>
    </row>
    <row r="55" spans="1:9" x14ac:dyDescent="0.25">
      <c r="A55" s="1"/>
      <c r="B55" s="114" t="s">
        <v>196</v>
      </c>
      <c r="C55" s="115"/>
      <c r="D55" s="115"/>
      <c r="E55" s="115"/>
      <c r="F55" s="116"/>
      <c r="G55" s="9">
        <f>-'Fane 11. Bortfald'!E33*(1+'Fane 12. Nøgletal'!C14)</f>
        <v>0</v>
      </c>
      <c r="H55" s="14" t="s">
        <v>3</v>
      </c>
      <c r="I55" s="1"/>
    </row>
    <row r="56" spans="1:9" x14ac:dyDescent="0.25">
      <c r="A56" s="1"/>
      <c r="B56" s="114" t="s">
        <v>197</v>
      </c>
      <c r="C56" s="115"/>
      <c r="D56" s="115"/>
      <c r="E56" s="115"/>
      <c r="F56" s="116"/>
      <c r="G56" s="24">
        <f>(G54+G55)*'Fane 12. Nøgletal'!C24</f>
        <v>114010.25319766351</v>
      </c>
      <c r="H56" s="14" t="s">
        <v>3</v>
      </c>
      <c r="I56" s="1"/>
    </row>
    <row r="57" spans="1:9" x14ac:dyDescent="0.25">
      <c r="A57" s="1"/>
      <c r="B57" s="50"/>
      <c r="C57" s="51"/>
      <c r="D57" s="51"/>
      <c r="E57" s="51"/>
      <c r="F57" s="51"/>
      <c r="G57" s="51"/>
      <c r="H57" s="20"/>
      <c r="I57" s="1"/>
    </row>
  </sheetData>
  <sheetProtection algorithmName="SHA-512" hashValue="ouvJfSPJCINmIG7+UeY7V2pNFbT6ZADSbg7/iTV6+1vmpD1u+02olboFMdeJYSGSZm1zNsA0VA/nss00NvRSZQ==" saltValue="hnqkq++6wErhSU3yn81sFw==" spinCount="100000" sheet="1" objects="1" scenarios="1"/>
  <mergeCells count="37">
    <mergeCell ref="B48:F48"/>
    <mergeCell ref="B49:F49"/>
    <mergeCell ref="B50:F50"/>
    <mergeCell ref="B37:F37"/>
    <mergeCell ref="B43:F43"/>
    <mergeCell ref="B42:F42"/>
    <mergeCell ref="B41:H41"/>
    <mergeCell ref="B38:F38"/>
    <mergeCell ref="B16:F16"/>
    <mergeCell ref="B18:F18"/>
    <mergeCell ref="B30:F30"/>
    <mergeCell ref="B17:F17"/>
    <mergeCell ref="B47:H47"/>
    <mergeCell ref="B28:H28"/>
    <mergeCell ref="B29:F29"/>
    <mergeCell ref="B31:F31"/>
    <mergeCell ref="B34:H34"/>
    <mergeCell ref="B22:H22"/>
    <mergeCell ref="B23:F23"/>
    <mergeCell ref="B24:F24"/>
    <mergeCell ref="B25:F25"/>
    <mergeCell ref="B1:H3"/>
    <mergeCell ref="B53:H53"/>
    <mergeCell ref="B54:F54"/>
    <mergeCell ref="B55:F55"/>
    <mergeCell ref="B56:F56"/>
    <mergeCell ref="B35:F35"/>
    <mergeCell ref="B44:F44"/>
    <mergeCell ref="B19:F19"/>
    <mergeCell ref="B4:H4"/>
    <mergeCell ref="B5:F5"/>
    <mergeCell ref="B6:F6"/>
    <mergeCell ref="B9:H9"/>
    <mergeCell ref="B10:F10"/>
    <mergeCell ref="B11:F11"/>
    <mergeCell ref="B12:F12"/>
    <mergeCell ref="B15:H1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91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1" t="s">
        <v>9</v>
      </c>
      <c r="C8" s="112"/>
      <c r="D8" s="112"/>
      <c r="E8" s="112"/>
      <c r="F8" s="112"/>
      <c r="G8" s="112"/>
      <c r="H8" s="113"/>
      <c r="I8" s="1"/>
    </row>
    <row r="9" spans="1:9" x14ac:dyDescent="0.25">
      <c r="A9" s="1"/>
      <c r="B9" s="114" t="s">
        <v>105</v>
      </c>
      <c r="C9" s="115"/>
      <c r="D9" s="115"/>
      <c r="E9" s="115"/>
      <c r="F9" s="116"/>
      <c r="G9" s="44">
        <v>1.6870477704504262E-2</v>
      </c>
      <c r="H9" s="14"/>
      <c r="I9" s="1"/>
    </row>
    <row r="10" spans="1:9" x14ac:dyDescent="0.25">
      <c r="A10" s="1"/>
      <c r="B10" s="114" t="s">
        <v>141</v>
      </c>
      <c r="C10" s="115"/>
      <c r="D10" s="115"/>
      <c r="E10" s="115"/>
      <c r="F10" s="116"/>
      <c r="G10" s="44">
        <v>8.9463542435165386E-3</v>
      </c>
      <c r="H10" s="14"/>
      <c r="I10" s="1"/>
    </row>
    <row r="11" spans="1:9" x14ac:dyDescent="0.25">
      <c r="A11" s="1"/>
      <c r="B11" s="50"/>
      <c r="C11" s="51"/>
      <c r="D11" s="51"/>
      <c r="E11" s="51"/>
      <c r="F11" s="51"/>
      <c r="G11" s="51"/>
      <c r="H11" s="20"/>
      <c r="I11" s="1"/>
    </row>
    <row r="12" spans="1:9" ht="14.25" customHeight="1" x14ac:dyDescent="0.25">
      <c r="A12" s="1"/>
      <c r="B12" s="123" t="s">
        <v>191</v>
      </c>
      <c r="C12" s="124"/>
      <c r="D12" s="124"/>
      <c r="E12" s="124"/>
      <c r="F12" s="124"/>
      <c r="G12" s="124"/>
      <c r="H12" s="125"/>
      <c r="I12" s="1"/>
    </row>
    <row r="13" spans="1:9" ht="12.75" customHeight="1" x14ac:dyDescent="0.25">
      <c r="A13" s="18"/>
      <c r="B13" s="126"/>
      <c r="C13" s="127"/>
      <c r="D13" s="127"/>
      <c r="E13" s="127"/>
      <c r="F13" s="127"/>
      <c r="G13" s="127"/>
      <c r="H13" s="128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UYs+fqeWcIfS/nfQkgYwFouyFk0C8H2mcjT0B4fjIYC/p9QUWWVacIZgKIKEULISdOlR4uYopprHJ1f+6TmaFA==" saltValue="j2zpypzPNTyN5ESbpL0iVg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2021-09-06T09:55:05Z</dcterms:modified>
</cp:coreProperties>
</file>