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Haderslev Vand AS (V071)\ØR2024\"/>
    </mc:Choice>
  </mc:AlternateContent>
  <xr:revisionPtr revIDLastSave="0" documentId="13_ncr:1_{83830D1C-5C03-4D7D-9002-D7F64F74190C}"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E23" i="42" l="1"/>
  <c r="E31" i="42" s="1"/>
  <c r="E33" i="42" s="1"/>
  <c r="C8" i="2"/>
  <c r="C17" i="22" l="1"/>
  <c r="C17" i="15"/>
  <c r="E27" i="42"/>
  <c r="C29" i="2" s="1"/>
  <c r="C13" i="29"/>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23" i="37" s="1"/>
  <c r="E24" i="37" s="1"/>
  <c r="C10" i="37"/>
  <c r="C23" i="37" s="1"/>
  <c r="C24"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G49" i="30" s="1"/>
  <c r="C17" i="2" s="1"/>
  <c r="C21" i="2"/>
  <c r="G43" i="30" l="1"/>
  <c r="G47" i="30" s="1"/>
  <c r="G37" i="36" l="1"/>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<sst xmlns="http://schemas.openxmlformats.org/spreadsheetml/2006/main" count="572" uniqueCount="273">
  <si>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</si>
  <si>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</si>
  <si>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</si>
  <si>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</si>
  <si>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</si>
  <si>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</si>
  <si>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</si>
  <si>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</si>
  <si>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</si>
  <si>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</si>
  <si>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</si>
  <si>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</si>
  <si>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</si>
  <si>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</si>
  <si>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</si>
  <si>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</si>
  <si>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</si>
  <si>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</si>
  <si>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</si>
  <si>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</si>
  <si>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</si>
  <si>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</si>
  <si>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</si>
  <si>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</si>
  <si>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</si>
  <si>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</si>
  <si>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</si>
  <si>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</si>
  <si>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</si>
  <si>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</si>
  <si>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</si>
  <si>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</si>
  <si>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</si>
  <si>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</si>
  <si>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</si>
  <si>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</si>
  <si>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</si>
  <si>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</si>
  <si>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</si>
  <si>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</si>
  <si>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</si>
  <si>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</si>
  <si>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</si>
  <si>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</si>
  <si>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</si>
  <si>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</si>
  <si>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</si>
  <si>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</si>
  <si>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</si>
  <si>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</si>
  <si>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</si>
  <si>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</si>
  <si>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</si>
  <si>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</si>
  <si>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</si>
  <si>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</si>
  <si>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</si>
  <si>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</si>
  <si>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</si>
  <si>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</si>
  <si>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</si>
  <si>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</si>
  <si>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</si>
  <si>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</si>
  <si>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</si>
  <si>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</si>
  <si>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</si>
  <si>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</si>
  <si>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</si>
  <si>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</si>
  <si>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</si>
  <si>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</si>
  <si>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</si>
  <si>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</si>
  <si>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</si>
  <si>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</si>
  <si>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</si>
  <si>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</si>
  <si>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</si>
  <si>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</si>
  <si>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</si>
  <si>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</si>
  <si>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</si>
  <si>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</si>
  <si>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</si>
  <si>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</si>
  <si>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</si>
  <si>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</si>
  <si>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</si>
  <si>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</si>
  <si>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</si>
  <si>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</si>
  <si>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</si>
  <si>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</si>
  <si>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</si>
  <si>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</si>
  <si>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</si>
  <si>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</si>
  <si>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</si>
  <si>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</si>
  <si>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</si>
  <si>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</si>
  <si>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</si>
  <si>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</si>
  <si>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</si>
  <si>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</si>
  <si>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</si>
  <si>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</si>
  <si>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</si>
  <si>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</si>
  <si>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</si>
  <si>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</si>
  <si>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</si>
  <si>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</si>
  <si>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</si>
  <si>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</si>
  <si>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</si>
  <si>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</si>
  <si>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</si>
  <si>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</si>
  <si>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</si>
  <si>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</si>
  <si>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</si>
  <si>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</si>
  <si>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</si>
  <si>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</si>
  <si>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</si>
  <si>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</si>
  <si>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</si>
  <si>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</si>
  <si>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</si>
  <si>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</si>
  <si>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</si>
  <si>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</si>
  <si>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</si>
  <si>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</si>
  <si>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</si>
  <si>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</si>
  <si>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</si>
  <si>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</si>
  <si>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</si>
  <si>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</si>
  <si>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</si>
  <si>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</si>
  <si>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</si>
  <si>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</si>
  <si>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</si>
  <si>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</si>
  <si>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</si>
  <si>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</si>
  <si>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</si>
  <si>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</si>
  <si>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</si>
  <si>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</si>
  <si>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</si>
  <si>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</si>
  <si>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</si>
  <si>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</si>
  <si>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</si>
  <si>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</si>
  <si>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</si>
  <si>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</si>
  <si>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</si>
  <si>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</si>
  <si>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</si>
  <si>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</si>
  <si>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</si>
  <si>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</si>
  <si>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</si>
  <si>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</si>
  <si>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</si>
  <si>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</si>
  <si>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</si>
  <si>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</si>
  <si>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</si>
  <si>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</si>
  <si>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</si>
  <si>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</si>
  <si>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</si>
  <si>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</si>
  <si>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</si>
  <si>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</si>
  <si>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</si>
  <si>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</si>
  <si>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</si>
  <si>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</si>
  <si>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</si>
  <si>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</si>
  <si>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</si>
  <si>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</si>
  <si>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</si>
  <si>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</si>
  <si>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</si>
  <si>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</si>
  <si>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</si>
  <si>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</si>
  <si>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</si>
  <si>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</si>
  <si>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</si>
  <si>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</si>
  <si>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</si>
  <si>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</si>
  <si>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</si>
  <si>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</si>
  <si>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</si>
  <si>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</si>
  <si>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</si>
  <si>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</si>
  <si>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</si>
  <si>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</si>
  <si>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</si>
  <si>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</si>
  <si>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</si>
  <si>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</si>
  <si>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</si>
  <si>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</si>
  <si>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</si>
  <si>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</si>
  <si>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</si>
  <si>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</si>
  <si>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</si>
  <si>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</si>
  <si>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</si>
  <si>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</si>
  <si>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</si>
  <si>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</si>
  <si>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</si>
  <si>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</si>
  <si>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</si>
  <si>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</si>
  <si>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</si>
  <si>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</si>
  <si>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</si>
  <si>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</si>
  <si>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</si>
  <si>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</si>
  <si>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</si>
  <si>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</si>
  <si>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</si>
  <si>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</si>
  <si>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</si>
  <si>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</si>
  <si>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</si>
  <si>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 xml:space="preserve">  361500010 Åstrupvej – Favrdal Vandværk Transmissionsledning, etape 2</t>
  </si>
  <si>
    <t>150510025 Server og IT-switches</t>
  </si>
  <si>
    <t>361500009 Transmissionsledninger under jernbanelinje, Vojens</t>
  </si>
  <si>
    <t>362500049+50+54+55 Forsyningssikkerhed og Vandspild</t>
  </si>
  <si>
    <t xml:space="preserve">370001042 Renovering af kildeplads Eskærhøj </t>
  </si>
  <si>
    <t>370001043 Eskærhøj trykforøger, opfølgning 2022</t>
  </si>
  <si>
    <t>370001044 Helhedsplan Haderslev Vandværk for 2022</t>
  </si>
  <si>
    <t>Vandprøver og analyser heraf - drift</t>
  </si>
  <si>
    <t>316001011 Nye målere - anlæg 2022</t>
  </si>
  <si>
    <t>3360500021 Nye tilslutninger, Vand, 2022</t>
  </si>
  <si>
    <t>Udvidelse af Forsyningsområdet, samlet</t>
  </si>
  <si>
    <t>Ingen engangstillæg</t>
  </si>
  <si>
    <t>Afgift for ledningsført vand</t>
  </si>
  <si>
    <t>Afgift til Forsyningssekretariatet</t>
  </si>
  <si>
    <t>Ejendomsskat</t>
  </si>
  <si>
    <t>Erstatninger</t>
  </si>
  <si>
    <t>Undersøgelsesudgifter i forbindelse med fusion</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</si>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</sst>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1"/>
      <color rgb="FFFF0000"/>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0" fontId="14" fillId="2" borderId="0" xfId="0" applyFont="1" applyFill="1" applyProtection="1"/>
    <xf numFmtId="49" fontId="8" fillId="8"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0" fontId="8" fillId="8" borderId="1" xfId="0" applyNumberFormat="1" applyFont="1" applyFill="1" applyBorder="1" applyProtection="1"/>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row r="1">
          <cell r="A1" t="str">
            <v>ØR 2024-2027 samt statusmeddelelser</v>
          </cell>
        </row>
      </sheetData>
      <sheetData sheetId="2">
        <row r="1">
          <cell r="AY1" t="str">
            <v>Videreførte omkostninger i den økonomiske ramme fra 2022 eksl. IPO og periodevise</v>
          </cell>
        </row>
      </sheetData>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94" t="s">
        <v>235</v>
      </c>
      <c r="E8" s="94"/>
      <c r="F8" s="94"/>
      <c r="G8" s="9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3" t="s">
        <v>5</v>
      </c>
      <c r="E11" s="93"/>
      <c r="F11" s="93"/>
      <c r="G11" s="93"/>
      <c r="H11" s="5"/>
      <c r="I11" s="1"/>
    </row>
    <row r="12" spans="1:9" x14ac:dyDescent="0.25">
      <c r="A12" s="1"/>
      <c r="B12" s="1"/>
      <c r="C12" s="1"/>
      <c r="D12" s="1"/>
      <c r="E12" s="1"/>
      <c r="F12" s="1"/>
      <c r="G12" s="1"/>
      <c r="H12" s="1"/>
      <c r="I12" s="1"/>
    </row>
    <row r="13" spans="1:9" x14ac:dyDescent="0.25">
      <c r="A13" s="1"/>
      <c r="B13" s="1"/>
      <c r="C13" s="6" t="s">
        <v>6</v>
      </c>
      <c r="D13" s="89" t="s">
        <v>162</v>
      </c>
      <c r="E13" s="90"/>
      <c r="F13" s="90"/>
      <c r="G13" s="91"/>
      <c r="H13" s="1"/>
      <c r="I13" s="1"/>
    </row>
    <row r="14" spans="1:9" x14ac:dyDescent="0.25">
      <c r="A14" s="1"/>
      <c r="B14" s="1"/>
      <c r="C14" s="6" t="s">
        <v>14</v>
      </c>
      <c r="D14" s="89" t="s">
        <v>197</v>
      </c>
      <c r="E14" s="90"/>
      <c r="F14" s="90"/>
      <c r="G14" s="91"/>
      <c r="H14" s="1"/>
      <c r="I14" s="1"/>
    </row>
    <row r="15" spans="1:9" x14ac:dyDescent="0.25">
      <c r="A15" s="1"/>
      <c r="B15" s="1"/>
      <c r="C15" s="6" t="s">
        <v>30</v>
      </c>
      <c r="D15" s="89" t="s">
        <v>141</v>
      </c>
      <c r="E15" s="90"/>
      <c r="F15" s="90"/>
      <c r="G15" s="91"/>
      <c r="H15" s="1"/>
      <c r="I15" s="1"/>
    </row>
    <row r="16" spans="1:9" x14ac:dyDescent="0.25">
      <c r="A16" s="1"/>
      <c r="B16" s="1"/>
      <c r="C16" s="6" t="s">
        <v>31</v>
      </c>
      <c r="D16" s="89" t="s">
        <v>194</v>
      </c>
      <c r="E16" s="90"/>
      <c r="F16" s="90"/>
      <c r="G16" s="91"/>
      <c r="H16" s="1"/>
      <c r="I16" s="1"/>
    </row>
    <row r="17" spans="1:9" x14ac:dyDescent="0.25">
      <c r="A17" s="1"/>
      <c r="B17" s="1"/>
      <c r="C17" s="6" t="s">
        <v>102</v>
      </c>
      <c r="D17" s="89" t="s">
        <v>195</v>
      </c>
      <c r="E17" s="90"/>
      <c r="F17" s="90"/>
      <c r="G17" s="91"/>
      <c r="H17" s="1"/>
      <c r="I17" s="1"/>
    </row>
    <row r="18" spans="1:9" x14ac:dyDescent="0.25">
      <c r="A18" s="1"/>
      <c r="B18" s="1"/>
      <c r="C18" s="6" t="s">
        <v>86</v>
      </c>
      <c r="D18" s="95" t="s">
        <v>79</v>
      </c>
      <c r="E18" s="96"/>
      <c r="F18" s="96"/>
      <c r="G18" s="97"/>
      <c r="H18" s="1"/>
      <c r="I18" s="1"/>
    </row>
    <row r="19" spans="1:9" x14ac:dyDescent="0.25">
      <c r="A19" s="1"/>
      <c r="B19" s="1"/>
      <c r="C19" s="6" t="s">
        <v>87</v>
      </c>
      <c r="D19" s="95" t="s">
        <v>80</v>
      </c>
      <c r="E19" s="96"/>
      <c r="F19" s="96"/>
      <c r="G19" s="97"/>
      <c r="H19" s="1"/>
      <c r="I19" s="1"/>
    </row>
    <row r="20" spans="1:9" x14ac:dyDescent="0.25">
      <c r="A20" s="1"/>
      <c r="B20" s="1"/>
      <c r="C20" s="6" t="s">
        <v>7</v>
      </c>
      <c r="D20" s="95" t="s">
        <v>9</v>
      </c>
      <c r="E20" s="96"/>
      <c r="F20" s="96"/>
      <c r="G20" s="97"/>
      <c r="H20" s="1"/>
      <c r="I20" s="1"/>
    </row>
    <row r="21" spans="1:9" x14ac:dyDescent="0.25">
      <c r="A21" s="1"/>
      <c r="B21" s="1"/>
      <c r="C21" s="6" t="s">
        <v>88</v>
      </c>
      <c r="D21" s="86" t="s">
        <v>11</v>
      </c>
      <c r="E21" s="87"/>
      <c r="F21" s="87"/>
      <c r="G21" s="88"/>
      <c r="H21" s="1"/>
      <c r="I21" s="1"/>
    </row>
    <row r="22" spans="1:9" x14ac:dyDescent="0.25">
      <c r="A22" s="1"/>
      <c r="B22" s="1"/>
      <c r="C22" s="6" t="s">
        <v>73</v>
      </c>
      <c r="D22" s="80" t="s">
        <v>196</v>
      </c>
      <c r="E22" s="81"/>
      <c r="F22" s="81"/>
      <c r="G22" s="82"/>
      <c r="H22" s="1"/>
      <c r="I22" s="1"/>
    </row>
    <row r="23" spans="1:9" x14ac:dyDescent="0.25">
      <c r="A23" s="1"/>
      <c r="B23" s="1"/>
      <c r="C23" s="6" t="s">
        <v>8</v>
      </c>
      <c r="D23" s="80" t="s">
        <v>176</v>
      </c>
      <c r="E23" s="81"/>
      <c r="F23" s="81"/>
      <c r="G23" s="82"/>
      <c r="H23" s="1"/>
      <c r="I23" s="1"/>
    </row>
    <row r="24" spans="1:9" x14ac:dyDescent="0.25">
      <c r="A24" s="1"/>
      <c r="B24" s="1"/>
      <c r="C24" s="6" t="s">
        <v>172</v>
      </c>
      <c r="D24" s="80" t="s">
        <v>163</v>
      </c>
      <c r="E24" s="81"/>
      <c r="F24" s="81"/>
      <c r="G24" s="82"/>
      <c r="H24" s="1"/>
      <c r="I24" s="1"/>
    </row>
    <row r="25" spans="1:9" x14ac:dyDescent="0.25">
      <c r="A25" s="1"/>
      <c r="B25" s="1"/>
      <c r="C25" s="6" t="s">
        <v>173</v>
      </c>
      <c r="D25" s="80" t="s">
        <v>74</v>
      </c>
      <c r="E25" s="81"/>
      <c r="F25" s="81"/>
      <c r="G25" s="82"/>
      <c r="H25" s="1"/>
      <c r="I25" s="1"/>
    </row>
    <row r="26" spans="1:9" x14ac:dyDescent="0.25">
      <c r="A26" s="1"/>
      <c r="B26" s="1"/>
      <c r="C26" s="6" t="s">
        <v>174</v>
      </c>
      <c r="D26" s="80" t="s">
        <v>75</v>
      </c>
      <c r="E26" s="81"/>
      <c r="F26" s="81"/>
      <c r="G26" s="82"/>
      <c r="H26" s="1"/>
      <c r="I26" s="1"/>
    </row>
    <row r="27" spans="1:9" x14ac:dyDescent="0.25">
      <c r="A27" s="1"/>
      <c r="B27" s="1"/>
      <c r="C27" s="6" t="s">
        <v>89</v>
      </c>
      <c r="D27" s="80" t="s">
        <v>103</v>
      </c>
      <c r="E27" s="81"/>
      <c r="F27" s="81"/>
      <c r="G27" s="82"/>
      <c r="H27" s="1"/>
      <c r="I27" s="1"/>
    </row>
    <row r="28" spans="1:9" x14ac:dyDescent="0.25">
      <c r="A28" s="1"/>
      <c r="B28" s="1"/>
      <c r="C28" s="6" t="s">
        <v>83</v>
      </c>
      <c r="D28" s="80" t="s">
        <v>32</v>
      </c>
      <c r="E28" s="81"/>
      <c r="F28" s="81"/>
      <c r="G28" s="82"/>
      <c r="H28" s="1"/>
      <c r="I28" s="1"/>
    </row>
    <row r="29" spans="1:9" x14ac:dyDescent="0.25">
      <c r="A29" s="1"/>
      <c r="B29" s="1"/>
      <c r="C29" s="6" t="s">
        <v>175</v>
      </c>
      <c r="D29" s="83" t="s">
        <v>84</v>
      </c>
      <c r="E29" s="84"/>
      <c r="F29" s="84"/>
      <c r="G29" s="85"/>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ea2SDczII0q2Iz83Ds7SRrRdmtQCgFHAoiUV5vwr8SCrX4wPbA/YWNRKtsQmEN19TNHQ7ZCPvvK6tFnzc/FxHQ==" saltValue="ahOl+a7RGLxjKBbQZEV+Vg=="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8" t="s">
        <v>92</v>
      </c>
      <c r="C3" s="98"/>
      <c r="D3" s="98"/>
      <c r="E3" s="1"/>
      <c r="F3" s="1"/>
    </row>
    <row r="4" spans="1:6" ht="15" customHeight="1" x14ac:dyDescent="0.25">
      <c r="A4" s="1"/>
      <c r="B4" s="98"/>
      <c r="C4" s="98"/>
      <c r="D4" s="9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2" t="s">
        <v>226</v>
      </c>
      <c r="C8" s="103"/>
      <c r="D8" s="104"/>
      <c r="E8" s="1"/>
      <c r="F8" s="1"/>
    </row>
    <row r="9" spans="1:6" ht="15" customHeight="1" x14ac:dyDescent="0.25">
      <c r="A9" s="1"/>
      <c r="B9" s="32" t="s">
        <v>28</v>
      </c>
      <c r="C9" s="11" t="s">
        <v>212</v>
      </c>
      <c r="D9" s="11"/>
      <c r="E9" s="1"/>
      <c r="F9" s="1"/>
    </row>
    <row r="10" spans="1:6" ht="15" customHeight="1" x14ac:dyDescent="0.25">
      <c r="A10" s="1"/>
      <c r="B10" s="69" t="s">
        <v>255</v>
      </c>
      <c r="C10" s="9">
        <v>9580865</v>
      </c>
      <c r="D10" s="14" t="s">
        <v>3</v>
      </c>
      <c r="E10" s="1"/>
      <c r="F10" s="1"/>
    </row>
    <row r="11" spans="1:6" x14ac:dyDescent="0.25">
      <c r="A11" s="1"/>
      <c r="B11" s="69" t="s">
        <v>256</v>
      </c>
      <c r="C11" s="9">
        <v>85713</v>
      </c>
      <c r="D11" s="14" t="s">
        <v>3</v>
      </c>
      <c r="E11" s="1"/>
      <c r="F11" s="1"/>
    </row>
    <row r="12" spans="1:6" x14ac:dyDescent="0.25">
      <c r="A12" s="1"/>
      <c r="B12" s="69" t="s">
        <v>257</v>
      </c>
      <c r="C12" s="9">
        <v>31349.11</v>
      </c>
      <c r="D12" s="14" t="s">
        <v>3</v>
      </c>
      <c r="E12" s="1"/>
      <c r="F12" s="1"/>
    </row>
    <row r="13" spans="1:6" x14ac:dyDescent="0.25">
      <c r="A13" s="1"/>
      <c r="B13" s="69" t="s">
        <v>258</v>
      </c>
      <c r="C13" s="9">
        <v>1270</v>
      </c>
      <c r="D13" s="14" t="s">
        <v>3</v>
      </c>
      <c r="E13" s="1"/>
      <c r="F13" s="1"/>
    </row>
    <row r="14" spans="1:6" x14ac:dyDescent="0.25">
      <c r="A14" s="1"/>
      <c r="B14" s="69" t="s">
        <v>259</v>
      </c>
      <c r="C14" s="9">
        <v>4280</v>
      </c>
      <c r="D14" s="14" t="s">
        <v>3</v>
      </c>
      <c r="E14" s="1"/>
      <c r="F14" s="1"/>
    </row>
    <row r="15" spans="1:6" x14ac:dyDescent="0.25">
      <c r="A15" s="1"/>
      <c r="B15" s="69"/>
      <c r="C15" s="9"/>
      <c r="D15" s="14" t="s">
        <v>3</v>
      </c>
      <c r="E15" s="1"/>
      <c r="F15" s="1"/>
    </row>
    <row r="16" spans="1:6" x14ac:dyDescent="0.25">
      <c r="A16" s="1"/>
      <c r="B16" s="69"/>
      <c r="C16" s="9"/>
      <c r="D16" s="14" t="s">
        <v>3</v>
      </c>
      <c r="E16" s="1"/>
      <c r="F16" s="1"/>
    </row>
    <row r="17" spans="1:6" x14ac:dyDescent="0.25">
      <c r="A17" s="1"/>
      <c r="B17" s="69"/>
      <c r="C17" s="9"/>
      <c r="D17" s="14" t="s">
        <v>3</v>
      </c>
      <c r="E17" s="1"/>
      <c r="F17" s="1"/>
    </row>
    <row r="18" spans="1:6" x14ac:dyDescent="0.25">
      <c r="A18" s="1"/>
      <c r="B18" s="69"/>
      <c r="C18" s="9"/>
      <c r="D18" s="14" t="s">
        <v>3</v>
      </c>
      <c r="E18" s="1"/>
      <c r="F18" s="1"/>
    </row>
    <row r="19" spans="1:6" x14ac:dyDescent="0.25">
      <c r="A19" s="1"/>
      <c r="B19" s="51" t="s">
        <v>213</v>
      </c>
      <c r="C19" s="12">
        <f>SUM(C10:C18)</f>
        <v>9703477.1099999994</v>
      </c>
      <c r="D19" s="13" t="s">
        <v>3</v>
      </c>
      <c r="E19" s="1"/>
      <c r="F19" s="1"/>
    </row>
    <row r="20" spans="1:6" x14ac:dyDescent="0.25">
      <c r="A20" s="1"/>
      <c r="B20" s="51" t="s">
        <v>214</v>
      </c>
      <c r="C20" s="12">
        <f>C19*(1+'Fane 13. Nøgletal'!C16)^2</f>
        <v>11334909.51977543</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GwQ7gJ2v0/C3mDlAOKYikLt3RXZEdPf9ETC5HSJ4beHyAmTGuwkwwTkZW5/KLR+NEqWRgImeiojOeQ1Vj8HhkQ==" saltValue="9/Trk3Ai2c3rMKtLdLJCk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16740-40DE-4F9D-B7DA-416C5EC1AB41}">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1" t="s">
        <v>227</v>
      </c>
      <c r="C3" s="101"/>
      <c r="D3" s="101"/>
      <c r="E3" s="101"/>
      <c r="F3" s="101"/>
      <c r="G3" s="1"/>
    </row>
    <row r="4" spans="1:7" ht="15" customHeight="1" x14ac:dyDescent="0.25">
      <c r="A4" s="1"/>
      <c r="B4" s="101"/>
      <c r="C4" s="101"/>
      <c r="D4" s="101"/>
      <c r="E4" s="101"/>
      <c r="F4" s="101"/>
      <c r="G4" s="1"/>
    </row>
    <row r="5" spans="1:7" ht="15" customHeight="1" x14ac:dyDescent="0.25">
      <c r="A5" s="1"/>
      <c r="B5" s="65"/>
      <c r="C5" s="65"/>
      <c r="D5" s="65"/>
      <c r="E5" s="65"/>
      <c r="F5" s="65"/>
      <c r="G5" s="1"/>
    </row>
    <row r="6" spans="1:7" ht="15" customHeight="1" x14ac:dyDescent="0.25">
      <c r="A6" s="1"/>
      <c r="B6" s="1"/>
      <c r="C6" s="59"/>
      <c r="D6" s="60"/>
      <c r="E6" s="65"/>
      <c r="F6" s="65"/>
      <c r="G6" s="1"/>
    </row>
    <row r="7" spans="1:7" x14ac:dyDescent="0.25">
      <c r="A7" s="1"/>
      <c r="B7" s="1"/>
      <c r="C7" s="1"/>
      <c r="D7" s="1"/>
      <c r="E7" s="61"/>
      <c r="F7" s="1"/>
      <c r="G7" s="1"/>
    </row>
    <row r="8" spans="1:7" x14ac:dyDescent="0.25">
      <c r="A8" s="1"/>
      <c r="B8" s="102" t="s">
        <v>260</v>
      </c>
      <c r="C8" s="103"/>
      <c r="D8" s="103"/>
      <c r="E8" s="103"/>
      <c r="F8" s="104"/>
      <c r="G8" s="1"/>
    </row>
    <row r="9" spans="1:7" x14ac:dyDescent="0.25">
      <c r="A9" s="1"/>
      <c r="B9" s="105" t="s">
        <v>261</v>
      </c>
      <c r="C9" s="106"/>
      <c r="D9" s="107"/>
      <c r="E9" s="28">
        <v>1670673</v>
      </c>
      <c r="F9" s="14" t="s">
        <v>3</v>
      </c>
      <c r="G9" s="1"/>
    </row>
    <row r="10" spans="1:7" x14ac:dyDescent="0.25">
      <c r="A10" s="1"/>
      <c r="B10" s="51"/>
      <c r="C10" s="52"/>
      <c r="D10" s="52"/>
      <c r="E10" s="52"/>
      <c r="F10" s="19"/>
      <c r="G10" s="1"/>
    </row>
    <row r="11" spans="1:7" ht="53.25" customHeight="1" x14ac:dyDescent="0.25">
      <c r="A11" s="1"/>
      <c r="B11" s="120" t="s">
        <v>262</v>
      </c>
      <c r="C11" s="121"/>
      <c r="D11" s="121"/>
      <c r="E11" s="121"/>
      <c r="F11" s="122"/>
      <c r="G11" s="1"/>
    </row>
    <row r="12" spans="1:7" x14ac:dyDescent="0.25">
      <c r="A12" s="1"/>
      <c r="B12" s="1"/>
      <c r="C12" s="1"/>
      <c r="D12" s="1"/>
      <c r="E12" s="1"/>
      <c r="F12" s="1"/>
      <c r="G12" s="1"/>
    </row>
    <row r="13" spans="1:7" x14ac:dyDescent="0.25">
      <c r="A13" s="1"/>
      <c r="B13" s="102" t="s">
        <v>140</v>
      </c>
      <c r="C13" s="103"/>
      <c r="D13" s="103"/>
      <c r="E13" s="103"/>
      <c r="F13" s="104"/>
      <c r="G13" s="1"/>
    </row>
    <row r="14" spans="1:7" x14ac:dyDescent="0.25">
      <c r="A14" s="1"/>
      <c r="B14" s="105" t="s">
        <v>263</v>
      </c>
      <c r="C14" s="106"/>
      <c r="D14" s="107"/>
      <c r="E14" s="9">
        <v>-79451</v>
      </c>
      <c r="F14" s="14" t="s">
        <v>3</v>
      </c>
      <c r="G14" s="1"/>
    </row>
    <row r="15" spans="1:7" x14ac:dyDescent="0.25">
      <c r="A15" s="1"/>
      <c r="B15" s="105" t="s">
        <v>264</v>
      </c>
      <c r="C15" s="106"/>
      <c r="D15" s="107"/>
      <c r="E15" s="9">
        <v>-79451</v>
      </c>
      <c r="F15" s="14" t="s">
        <v>3</v>
      </c>
      <c r="G15" s="1"/>
    </row>
    <row r="16" spans="1:7" x14ac:dyDescent="0.25">
      <c r="A16" s="1"/>
      <c r="B16" s="51"/>
      <c r="C16" s="52"/>
      <c r="D16" s="52"/>
      <c r="E16" s="52"/>
      <c r="F16" s="19"/>
      <c r="G16" s="1"/>
    </row>
    <row r="17" spans="1:7" ht="32.25" customHeight="1" x14ac:dyDescent="0.25">
      <c r="A17" s="1"/>
      <c r="B17" s="120" t="s">
        <v>265</v>
      </c>
      <c r="C17" s="121"/>
      <c r="D17" s="121"/>
      <c r="E17" s="121"/>
      <c r="F17" s="122"/>
      <c r="G17" s="1"/>
    </row>
    <row r="18" spans="1:7" x14ac:dyDescent="0.25">
      <c r="A18" s="1"/>
      <c r="B18" s="1"/>
      <c r="C18" s="1"/>
      <c r="D18" s="1"/>
      <c r="E18" s="1"/>
      <c r="F18" s="1"/>
      <c r="G18" s="1"/>
    </row>
    <row r="19" spans="1:7" x14ac:dyDescent="0.25">
      <c r="A19" s="1"/>
      <c r="B19" s="70" t="s">
        <v>266</v>
      </c>
      <c r="C19" s="71"/>
      <c r="D19" s="71"/>
      <c r="E19" s="71"/>
      <c r="F19" s="72"/>
      <c r="G19" s="1"/>
    </row>
    <row r="20" spans="1:7" x14ac:dyDescent="0.25">
      <c r="A20" s="1"/>
      <c r="B20" s="66" t="s">
        <v>267</v>
      </c>
      <c r="C20" s="67"/>
      <c r="D20" s="68"/>
      <c r="E20" s="9">
        <v>31437669</v>
      </c>
      <c r="F20" s="14" t="s">
        <v>3</v>
      </c>
      <c r="G20" s="1"/>
    </row>
    <row r="21" spans="1:7" x14ac:dyDescent="0.25">
      <c r="A21" s="1"/>
      <c r="B21" s="66" t="s">
        <v>268</v>
      </c>
      <c r="C21" s="67"/>
      <c r="D21" s="68"/>
      <c r="E21" s="9">
        <v>31302462.780000001</v>
      </c>
      <c r="F21" s="14" t="s">
        <v>3</v>
      </c>
      <c r="G21" s="1"/>
    </row>
    <row r="22" spans="1:7" x14ac:dyDescent="0.25">
      <c r="A22" s="1"/>
      <c r="B22" s="66" t="s">
        <v>29</v>
      </c>
      <c r="C22" s="67"/>
      <c r="D22" s="68"/>
      <c r="E22" s="9">
        <v>0</v>
      </c>
      <c r="F22" s="14" t="s">
        <v>3</v>
      </c>
      <c r="G22" s="1"/>
    </row>
    <row r="23" spans="1:7" x14ac:dyDescent="0.25">
      <c r="A23" s="1"/>
      <c r="B23" s="74" t="s">
        <v>269</v>
      </c>
      <c r="C23" s="75"/>
      <c r="D23" s="76"/>
      <c r="E23" s="10">
        <f>E20-(E21-E22)</f>
        <v>135206.21999999881</v>
      </c>
      <c r="F23" s="17" t="s">
        <v>3</v>
      </c>
      <c r="G23" s="1"/>
    </row>
    <row r="24" spans="1:7" x14ac:dyDescent="0.25">
      <c r="A24" s="1"/>
      <c r="B24" s="51"/>
      <c r="C24" s="52"/>
      <c r="D24" s="52"/>
      <c r="E24" s="52"/>
      <c r="F24" s="19"/>
      <c r="G24" s="1"/>
    </row>
    <row r="25" spans="1:7" x14ac:dyDescent="0.25">
      <c r="A25" s="1"/>
      <c r="B25" s="1"/>
      <c r="C25" s="1"/>
      <c r="D25" s="1"/>
      <c r="E25" s="1"/>
      <c r="F25" s="1"/>
      <c r="G25" s="1"/>
    </row>
    <row r="26" spans="1:7" x14ac:dyDescent="0.25">
      <c r="A26" s="1"/>
      <c r="B26" s="102" t="s">
        <v>270</v>
      </c>
      <c r="C26" s="103"/>
      <c r="D26" s="103"/>
      <c r="E26" s="103"/>
      <c r="F26" s="104"/>
      <c r="G26" s="1"/>
    </row>
    <row r="27" spans="1:7" x14ac:dyDescent="0.25">
      <c r="A27" s="1"/>
      <c r="B27" s="130" t="s">
        <v>271</v>
      </c>
      <c r="C27" s="131"/>
      <c r="D27" s="132"/>
      <c r="E27" s="62">
        <f>IF(AND(E15&lt;0,E23&gt;0,ABS(SUM(E14:E15))&lt;E23),ABS(E14),IF(AND(E15&lt;0,E23&gt;0,ABS(SUM(E14:E15))&gt;E23),SUM(E14,E23),0))</f>
        <v>55755.219999998808</v>
      </c>
      <c r="F27" s="17" t="s">
        <v>3</v>
      </c>
      <c r="G27" s="1"/>
    </row>
    <row r="28" spans="1:7" x14ac:dyDescent="0.25">
      <c r="A28" s="1"/>
      <c r="B28" s="102"/>
      <c r="C28" s="103"/>
      <c r="D28" s="103"/>
      <c r="E28" s="103"/>
      <c r="F28" s="104"/>
      <c r="G28" s="1"/>
    </row>
    <row r="29" spans="1:7" x14ac:dyDescent="0.25">
      <c r="A29" s="1"/>
      <c r="B29" s="1"/>
      <c r="C29" s="1"/>
      <c r="D29" s="1"/>
      <c r="E29" s="1"/>
      <c r="F29" s="1"/>
      <c r="G29" s="1"/>
    </row>
    <row r="30" spans="1:7" x14ac:dyDescent="0.25">
      <c r="A30" s="1"/>
      <c r="B30" s="102" t="s">
        <v>272</v>
      </c>
      <c r="C30" s="103"/>
      <c r="D30" s="103"/>
      <c r="E30" s="103"/>
      <c r="F30" s="104"/>
      <c r="G30" s="1"/>
    </row>
    <row r="31" spans="1:7" x14ac:dyDescent="0.25">
      <c r="A31" s="1"/>
      <c r="B31" s="123" t="s">
        <v>117</v>
      </c>
      <c r="C31" s="124"/>
      <c r="D31" s="125"/>
      <c r="E31" s="63">
        <f>IF(AND(E9&gt;0,(E9+E23)&gt;0),0,IF(AND(E9&gt;0,(E9+E23)&lt;0),(E9+E23),IF(AND(E9&lt;0,E23&lt;0),E23,0)))</f>
        <v>0</v>
      </c>
      <c r="F31" s="14" t="s">
        <v>3</v>
      </c>
      <c r="G31" s="1"/>
    </row>
    <row r="32" spans="1:7" x14ac:dyDescent="0.25">
      <c r="A32" s="1"/>
      <c r="B32" s="123" t="s">
        <v>85</v>
      </c>
      <c r="C32" s="124"/>
      <c r="D32" s="125"/>
      <c r="E32" s="9">
        <v>2</v>
      </c>
      <c r="F32" s="14" t="s">
        <v>18</v>
      </c>
      <c r="G32" s="1"/>
    </row>
    <row r="33" spans="1:7" x14ac:dyDescent="0.25">
      <c r="A33" s="1"/>
      <c r="B33" s="126" t="s">
        <v>116</v>
      </c>
      <c r="C33" s="126"/>
      <c r="D33" s="126"/>
      <c r="E33" s="62">
        <f>E31/E32</f>
        <v>0</v>
      </c>
      <c r="F33" s="17" t="s">
        <v>3</v>
      </c>
      <c r="G33" s="1"/>
    </row>
    <row r="34" spans="1:7" x14ac:dyDescent="0.25">
      <c r="A34" s="1"/>
      <c r="B34" s="127"/>
      <c r="C34" s="128"/>
      <c r="D34" s="128"/>
      <c r="E34" s="128"/>
      <c r="F34" s="129"/>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IuX8Mf1WMuj1/GJgVhu8GErwkSmSyE2MbZliWC8H4WgqW4pcCCOTNBUWV9YYJmtzADkfhvT2xARto7jQDxEwOQ==" saltValue="ZjoIwxhosnm2yofGcN4SmA==" spinCount="100000" sheet="1" objects="1" scenarios="1"/>
  <mergeCells count="16">
    <mergeCell ref="B31:D31"/>
    <mergeCell ref="B32:D32"/>
    <mergeCell ref="B33:D33"/>
    <mergeCell ref="B34:F34"/>
    <mergeCell ref="B15:D15"/>
    <mergeCell ref="B17:F17"/>
    <mergeCell ref="B26:F26"/>
    <mergeCell ref="B27:D27"/>
    <mergeCell ref="B28:F28"/>
    <mergeCell ref="B30:F30"/>
    <mergeCell ref="B14:D14"/>
    <mergeCell ref="B3:F4"/>
    <mergeCell ref="B8:F8"/>
    <mergeCell ref="B9:D9"/>
    <mergeCell ref="B11:F11"/>
    <mergeCell ref="B13:F1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8" t="s">
        <v>183</v>
      </c>
      <c r="C3" s="98"/>
      <c r="D3" s="98"/>
      <c r="E3" s="98"/>
      <c r="F3" s="98"/>
      <c r="G3" s="98"/>
      <c r="H3" s="98"/>
      <c r="I3" s="1"/>
    </row>
    <row r="4" spans="1:9" ht="15" customHeight="1" x14ac:dyDescent="0.25">
      <c r="A4" s="1"/>
      <c r="B4" s="98"/>
      <c r="C4" s="98"/>
      <c r="D4" s="98"/>
      <c r="E4" s="98"/>
      <c r="F4" s="98"/>
      <c r="G4" s="98"/>
      <c r="H4" s="9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2" t="s">
        <v>184</v>
      </c>
      <c r="C8" s="103"/>
      <c r="D8" s="103"/>
      <c r="E8" s="103"/>
      <c r="F8" s="103"/>
      <c r="G8" s="103"/>
      <c r="H8" s="104"/>
      <c r="I8" s="1"/>
    </row>
    <row r="9" spans="1:9" ht="15" customHeight="1" x14ac:dyDescent="0.25">
      <c r="A9" s="1"/>
      <c r="B9" s="133" t="s">
        <v>234</v>
      </c>
      <c r="C9" s="134"/>
      <c r="D9" s="134"/>
      <c r="E9" s="134"/>
      <c r="F9" s="134"/>
      <c r="G9" s="134"/>
      <c r="H9" s="135"/>
      <c r="I9" s="1"/>
    </row>
    <row r="10" spans="1:9" x14ac:dyDescent="0.25">
      <c r="A10" s="1"/>
      <c r="B10" s="136" t="s">
        <v>185</v>
      </c>
      <c r="C10" s="137"/>
      <c r="D10" s="137"/>
      <c r="E10" s="137"/>
      <c r="F10" s="138"/>
      <c r="G10" s="45"/>
      <c r="H10" s="9" t="s">
        <v>3</v>
      </c>
      <c r="I10" s="1"/>
    </row>
    <row r="11" spans="1:9" x14ac:dyDescent="0.25">
      <c r="A11" s="1"/>
      <c r="B11" s="136" t="s">
        <v>186</v>
      </c>
      <c r="C11" s="137"/>
      <c r="D11" s="137"/>
      <c r="E11" s="137"/>
      <c r="F11" s="138"/>
      <c r="G11" s="45"/>
      <c r="H11" s="9" t="s">
        <v>3</v>
      </c>
      <c r="I11" s="1"/>
    </row>
    <row r="12" spans="1:9" x14ac:dyDescent="0.25">
      <c r="A12" s="1"/>
      <c r="B12" s="136" t="s">
        <v>187</v>
      </c>
      <c r="C12" s="137"/>
      <c r="D12" s="137"/>
      <c r="E12" s="137"/>
      <c r="F12" s="138"/>
      <c r="G12" s="9"/>
      <c r="H12" s="9" t="s">
        <v>3</v>
      </c>
      <c r="I12" s="1"/>
    </row>
    <row r="13" spans="1:9" x14ac:dyDescent="0.25">
      <c r="A13" s="1"/>
      <c r="B13" s="136" t="s">
        <v>188</v>
      </c>
      <c r="C13" s="137"/>
      <c r="D13" s="137"/>
      <c r="E13" s="137"/>
      <c r="F13" s="138"/>
      <c r="G13" s="9"/>
      <c r="H13" s="9" t="s">
        <v>3</v>
      </c>
      <c r="I13" s="1"/>
    </row>
    <row r="14" spans="1:9" x14ac:dyDescent="0.25">
      <c r="A14" s="1"/>
      <c r="B14" s="136" t="s">
        <v>189</v>
      </c>
      <c r="C14" s="137"/>
      <c r="D14" s="137"/>
      <c r="E14" s="137"/>
      <c r="F14" s="138"/>
      <c r="G14" s="9"/>
      <c r="H14" s="9" t="s">
        <v>3</v>
      </c>
      <c r="I14" s="1"/>
    </row>
    <row r="15" spans="1:9" x14ac:dyDescent="0.25">
      <c r="A15" s="1"/>
      <c r="B15" s="136" t="s">
        <v>190</v>
      </c>
      <c r="C15" s="137"/>
      <c r="D15" s="137"/>
      <c r="E15" s="137"/>
      <c r="F15" s="138"/>
      <c r="G15" s="9"/>
      <c r="H15" s="9" t="s">
        <v>3</v>
      </c>
      <c r="I15" s="1"/>
    </row>
    <row r="16" spans="1:9" x14ac:dyDescent="0.25">
      <c r="A16" s="1"/>
      <c r="B16" s="136" t="s">
        <v>191</v>
      </c>
      <c r="C16" s="137"/>
      <c r="D16" s="137"/>
      <c r="E16" s="137"/>
      <c r="F16" s="138"/>
      <c r="G16" s="9"/>
      <c r="H16" s="9" t="s">
        <v>3</v>
      </c>
      <c r="I16" s="1"/>
    </row>
    <row r="17" spans="1:9" x14ac:dyDescent="0.25">
      <c r="A17" s="1"/>
      <c r="B17" s="136" t="s">
        <v>192</v>
      </c>
      <c r="C17" s="137"/>
      <c r="D17" s="137"/>
      <c r="E17" s="137"/>
      <c r="F17" s="138"/>
      <c r="G17" s="9"/>
      <c r="H17" s="9" t="s">
        <v>3</v>
      </c>
      <c r="I17" s="1"/>
    </row>
    <row r="18" spans="1:9" x14ac:dyDescent="0.25">
      <c r="A18" s="1"/>
      <c r="B18" s="102" t="s">
        <v>193</v>
      </c>
      <c r="C18" s="103"/>
      <c r="D18" s="103"/>
      <c r="E18" s="103"/>
      <c r="F18" s="104"/>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8tXZfpaN1eh2x1PY1t17Sqky23YMpwZbJZK9ygL2NuhsPc1MpIeGr+gvqOb3CRzzIqN/IlKtHHVa2sORaNtu/g==" saltValue="YpQWfHmKUVXD42GMPypYl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8" t="s">
        <v>177</v>
      </c>
      <c r="C3" s="98"/>
      <c r="D3" s="98"/>
      <c r="E3" s="98"/>
      <c r="F3" s="98"/>
      <c r="G3" s="98"/>
      <c r="H3" s="98"/>
      <c r="I3" s="98"/>
      <c r="J3" s="98"/>
      <c r="K3" s="98"/>
      <c r="L3" s="1"/>
    </row>
    <row r="4" spans="1:12" ht="15" customHeight="1" x14ac:dyDescent="0.25">
      <c r="A4" s="1"/>
      <c r="B4" s="98"/>
      <c r="C4" s="98"/>
      <c r="D4" s="98"/>
      <c r="E4" s="98"/>
      <c r="F4" s="98"/>
      <c r="G4" s="98"/>
      <c r="H4" s="98"/>
      <c r="I4" s="98"/>
      <c r="J4" s="98"/>
      <c r="K4" s="9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2" t="s">
        <v>155</v>
      </c>
      <c r="C8" s="103"/>
      <c r="D8" s="103"/>
      <c r="E8" s="103"/>
      <c r="F8" s="103"/>
      <c r="G8" s="103"/>
      <c r="H8" s="103"/>
      <c r="I8" s="103"/>
      <c r="J8" s="103"/>
      <c r="K8" s="104"/>
      <c r="L8" s="1"/>
    </row>
    <row r="9" spans="1:12" ht="39.75" customHeight="1" x14ac:dyDescent="0.25">
      <c r="A9" s="1"/>
      <c r="B9" s="18" t="s">
        <v>0</v>
      </c>
      <c r="C9" s="18" t="s">
        <v>1</v>
      </c>
      <c r="D9" s="139" t="s">
        <v>170</v>
      </c>
      <c r="E9" s="140"/>
      <c r="F9" s="139" t="s">
        <v>2</v>
      </c>
      <c r="G9" s="140"/>
      <c r="H9" s="139" t="s">
        <v>171</v>
      </c>
      <c r="I9" s="140"/>
      <c r="J9" s="139" t="s">
        <v>26</v>
      </c>
      <c r="K9" s="140"/>
      <c r="L9" s="1"/>
    </row>
    <row r="10" spans="1:12" x14ac:dyDescent="0.25">
      <c r="A10" s="1"/>
      <c r="B10" s="79" t="s">
        <v>238</v>
      </c>
      <c r="C10" s="31">
        <v>0</v>
      </c>
      <c r="D10" s="9">
        <v>0</v>
      </c>
      <c r="E10" s="14" t="s">
        <v>3</v>
      </c>
      <c r="F10" s="55">
        <f>IFERROR(D10/C10,0)</f>
        <v>0</v>
      </c>
      <c r="G10" s="14" t="s">
        <v>3</v>
      </c>
      <c r="H10" s="9">
        <v>0</v>
      </c>
      <c r="I10" s="14" t="s">
        <v>3</v>
      </c>
      <c r="J10" s="9">
        <v>0</v>
      </c>
      <c r="K10" s="14" t="s">
        <v>3</v>
      </c>
      <c r="L10" s="1"/>
    </row>
    <row r="11" spans="1:12" x14ac:dyDescent="0.25">
      <c r="A11" s="1"/>
      <c r="B11" s="51" t="s">
        <v>215</v>
      </c>
      <c r="C11" s="52"/>
      <c r="D11" s="19"/>
      <c r="E11" s="72"/>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WpcToZA6+T1LAI7ypKzXD96D+I2/UaFrCc1Ruzzp+5PEbd44lxc4lchP3Q02oYzH60znwhDiZWuNF+EyRn9DXA==" saltValue="OgjpaUlLFbMIZWYwm+Nz+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4"/>
  <sheetViews>
    <sheetView showGridLines="0" view="pageLayout" zoomScaleNormal="100" workbookViewId="0"/>
  </sheetViews>
  <sheetFormatPr defaultColWidth="9.140625" defaultRowHeight="15" x14ac:dyDescent="0.25"/>
  <cols>
    <col min="1" max="1" width="5.140625" style="2" customWidth="1"/>
    <col min="2" max="2" width="35.28515625" style="2" customWidth="1"/>
    <col min="3" max="3" width="17.28515625" style="2" customWidth="1"/>
    <col min="4" max="4" width="3.28515625" style="2" customWidth="1"/>
    <col min="5" max="5" width="17.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178</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70</v>
      </c>
      <c r="C8" s="52"/>
      <c r="D8" s="52"/>
      <c r="E8" s="52"/>
      <c r="F8" s="19"/>
      <c r="G8" s="1"/>
    </row>
    <row r="9" spans="1:7" ht="17.25" customHeight="1" x14ac:dyDescent="0.25">
      <c r="A9" s="1"/>
      <c r="B9" s="77" t="s">
        <v>15</v>
      </c>
      <c r="C9" s="77" t="s">
        <v>10</v>
      </c>
      <c r="D9" s="78"/>
      <c r="E9" s="77"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ht="26.25" x14ac:dyDescent="0.25">
      <c r="A11" s="1"/>
      <c r="B11" s="79" t="s">
        <v>243</v>
      </c>
      <c r="C11" s="21">
        <v>2394</v>
      </c>
      <c r="D11" s="14" t="s">
        <v>3</v>
      </c>
      <c r="E11" s="9">
        <v>13855</v>
      </c>
      <c r="F11" s="14" t="s">
        <v>3</v>
      </c>
      <c r="G11" s="1"/>
    </row>
    <row r="12" spans="1:7" x14ac:dyDescent="0.25">
      <c r="A12" s="1"/>
      <c r="B12" s="27" t="s">
        <v>244</v>
      </c>
      <c r="C12" s="21">
        <v>0</v>
      </c>
      <c r="D12" s="14" t="s">
        <v>3</v>
      </c>
      <c r="E12" s="9">
        <v>32744</v>
      </c>
      <c r="F12" s="14" t="s">
        <v>3</v>
      </c>
      <c r="G12" s="1"/>
    </row>
    <row r="13" spans="1:7" ht="26.25" x14ac:dyDescent="0.25">
      <c r="A13" s="1"/>
      <c r="B13" s="79" t="s">
        <v>245</v>
      </c>
      <c r="C13" s="21">
        <v>12032</v>
      </c>
      <c r="D13" s="14" t="s">
        <v>3</v>
      </c>
      <c r="E13" s="9">
        <v>23393</v>
      </c>
      <c r="F13" s="14" t="s">
        <v>3</v>
      </c>
      <c r="G13" s="1"/>
    </row>
    <row r="14" spans="1:7" ht="26.25" x14ac:dyDescent="0.25">
      <c r="A14" s="1"/>
      <c r="B14" s="79" t="s">
        <v>246</v>
      </c>
      <c r="C14" s="21">
        <v>0</v>
      </c>
      <c r="D14" s="14" t="s">
        <v>3</v>
      </c>
      <c r="E14" s="9">
        <v>83483</v>
      </c>
      <c r="F14" s="14" t="s">
        <v>3</v>
      </c>
      <c r="G14" s="1"/>
    </row>
    <row r="15" spans="1:7" x14ac:dyDescent="0.25">
      <c r="A15" s="1"/>
      <c r="B15" s="27" t="s">
        <v>247</v>
      </c>
      <c r="C15" s="21">
        <v>0</v>
      </c>
      <c r="D15" s="14" t="s">
        <v>3</v>
      </c>
      <c r="E15" s="9">
        <v>168565</v>
      </c>
      <c r="F15" s="14" t="s">
        <v>3</v>
      </c>
      <c r="G15" s="1"/>
    </row>
    <row r="16" spans="1:7" x14ac:dyDescent="0.25">
      <c r="A16" s="1"/>
      <c r="B16" s="27" t="s">
        <v>248</v>
      </c>
      <c r="C16" s="21">
        <v>0</v>
      </c>
      <c r="D16" s="14" t="s">
        <v>3</v>
      </c>
      <c r="E16" s="9">
        <v>11999</v>
      </c>
      <c r="F16" s="14" t="s">
        <v>3</v>
      </c>
      <c r="G16" s="1"/>
    </row>
    <row r="17" spans="1:7" ht="26.25" x14ac:dyDescent="0.25">
      <c r="A17" s="1"/>
      <c r="B17" s="79" t="s">
        <v>249</v>
      </c>
      <c r="C17" s="21">
        <v>0</v>
      </c>
      <c r="D17" s="14" t="s">
        <v>3</v>
      </c>
      <c r="E17" s="9">
        <v>130098</v>
      </c>
      <c r="F17" s="14" t="s">
        <v>3</v>
      </c>
      <c r="G17" s="1"/>
    </row>
    <row r="18" spans="1:7" x14ac:dyDescent="0.25">
      <c r="A18" s="1"/>
      <c r="B18" s="27" t="s">
        <v>250</v>
      </c>
      <c r="C18" s="21">
        <v>351237</v>
      </c>
      <c r="D18" s="14" t="s">
        <v>3</v>
      </c>
      <c r="E18" s="9">
        <v>0</v>
      </c>
      <c r="F18" s="14" t="s">
        <v>3</v>
      </c>
      <c r="G18" s="1"/>
    </row>
    <row r="19" spans="1:7" x14ac:dyDescent="0.25">
      <c r="A19" s="1"/>
      <c r="B19" s="27" t="s">
        <v>251</v>
      </c>
      <c r="C19" s="21">
        <v>0</v>
      </c>
      <c r="D19" s="14" t="s">
        <v>3</v>
      </c>
      <c r="E19" s="9">
        <v>38261</v>
      </c>
      <c r="F19" s="14" t="s">
        <v>3</v>
      </c>
      <c r="G19" s="1"/>
    </row>
    <row r="20" spans="1:7" x14ac:dyDescent="0.25">
      <c r="A20" s="1"/>
      <c r="B20" s="27" t="s">
        <v>252</v>
      </c>
      <c r="C20" s="21">
        <v>121073</v>
      </c>
      <c r="D20" s="14" t="s">
        <v>3</v>
      </c>
      <c r="E20" s="9">
        <v>5561</v>
      </c>
      <c r="F20" s="14" t="s">
        <v>3</v>
      </c>
      <c r="G20" s="1"/>
    </row>
    <row r="21" spans="1:7" x14ac:dyDescent="0.25">
      <c r="A21" s="1"/>
      <c r="B21" s="27" t="s">
        <v>253</v>
      </c>
      <c r="C21" s="21">
        <v>217142</v>
      </c>
      <c r="D21" s="14" t="s">
        <v>3</v>
      </c>
      <c r="E21" s="9">
        <v>61255</v>
      </c>
      <c r="F21" s="14" t="s">
        <v>3</v>
      </c>
      <c r="G21" s="1"/>
    </row>
    <row r="22" spans="1:7" x14ac:dyDescent="0.25">
      <c r="A22" s="1"/>
      <c r="B22" s="27"/>
      <c r="C22" s="21"/>
      <c r="D22" s="14" t="s">
        <v>3</v>
      </c>
      <c r="E22" s="9"/>
      <c r="F22" s="14" t="s">
        <v>3</v>
      </c>
      <c r="G22" s="1"/>
    </row>
    <row r="23" spans="1:7" x14ac:dyDescent="0.25">
      <c r="A23" s="1"/>
      <c r="B23" s="51" t="s">
        <v>151</v>
      </c>
      <c r="C23" s="12">
        <f>SUM(C10:C22)</f>
        <v>703878</v>
      </c>
      <c r="D23" s="13" t="s">
        <v>3</v>
      </c>
      <c r="E23" s="12">
        <f>SUM(E10:E22)</f>
        <v>569214</v>
      </c>
      <c r="F23" s="13" t="s">
        <v>3</v>
      </c>
      <c r="G23" s="1"/>
    </row>
    <row r="24" spans="1:7" x14ac:dyDescent="0.25">
      <c r="A24" s="1"/>
      <c r="B24" s="51" t="s">
        <v>209</v>
      </c>
      <c r="C24" s="12">
        <f>C23*(1+'Fane 13. Nøgletal'!C16)</f>
        <v>760751.34239999996</v>
      </c>
      <c r="D24" s="13" t="s">
        <v>3</v>
      </c>
      <c r="E24" s="12">
        <f>E23*(1+'Fane 13. Nøgletal'!C16)</f>
        <v>615206.49120000005</v>
      </c>
      <c r="F24" s="13" t="s">
        <v>3</v>
      </c>
      <c r="G24" s="1"/>
    </row>
    <row r="25" spans="1:7" x14ac:dyDescent="0.25">
      <c r="A25" s="1"/>
      <c r="B25" s="1"/>
      <c r="C25" s="1" t="s">
        <v>168</v>
      </c>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44"/>
      <c r="B48" s="44"/>
      <c r="C48" s="44"/>
      <c r="D48" s="44"/>
      <c r="E48" s="44"/>
      <c r="F48" s="44"/>
      <c r="G48" s="44"/>
    </row>
    <row r="49" spans="1:7" x14ac:dyDescent="0.25">
      <c r="A49" s="44"/>
      <c r="B49" s="44"/>
      <c r="C49" s="44"/>
      <c r="D49" s="44"/>
      <c r="E49" s="44"/>
      <c r="F49" s="44"/>
      <c r="G49" s="44"/>
    </row>
    <row r="50" spans="1:7" x14ac:dyDescent="0.25">
      <c r="A50" s="44"/>
      <c r="B50" s="44"/>
      <c r="C50" s="44"/>
      <c r="D50" s="44"/>
      <c r="E50" s="44"/>
      <c r="F50" s="44"/>
      <c r="G50" s="44"/>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sheetData>
  <sheetProtection algorithmName="SHA-512" hashValue="ObhPIqb6QLn6Gy7+nOV2sERsrIDK6S0OqytcAMRx7ve/FxcWnSOvRnM5W8v8mQFqSyQTQ5eHHyMsAak22Yq4NQ==" saltValue="WMx+WpJXr6yN6ehSl17Ov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179</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2" t="s">
        <v>217</v>
      </c>
      <c r="C9" s="103"/>
      <c r="D9" s="103"/>
      <c r="E9" s="103"/>
      <c r="F9" s="104"/>
      <c r="G9" s="1"/>
    </row>
    <row r="10" spans="1:7" ht="26.25" x14ac:dyDescent="0.25">
      <c r="A10" s="1"/>
      <c r="B10" s="77" t="s">
        <v>15</v>
      </c>
      <c r="C10" s="77" t="s">
        <v>10</v>
      </c>
      <c r="D10" s="78"/>
      <c r="E10" s="77" t="s">
        <v>27</v>
      </c>
      <c r="F10" s="30"/>
      <c r="G10" s="1"/>
    </row>
    <row r="11" spans="1:7" x14ac:dyDescent="0.25">
      <c r="A11" s="1"/>
      <c r="B11" s="23" t="s">
        <v>254</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1" t="s">
        <v>218</v>
      </c>
      <c r="C14" s="12">
        <f>SUM(C11:C13)</f>
        <v>0</v>
      </c>
      <c r="D14" s="13" t="s">
        <v>3</v>
      </c>
      <c r="E14" s="12">
        <f>SUM(E11:E13)</f>
        <v>0</v>
      </c>
      <c r="F14" s="13" t="s">
        <v>3</v>
      </c>
      <c r="G14" s="1"/>
    </row>
    <row r="15" spans="1:7" x14ac:dyDescent="0.25">
      <c r="A15" s="1"/>
      <c r="B15" s="51"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oVdSXKDhodtIuksHzToAQSw1mi0ZUkuDwyGKWo0zxeWB0guRjNEt9khLblARn2hIRw/aqA22Q04pn4IX/njww==" saltValue="S9KSVBk3pwWdQg8nhD/Xq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180</v>
      </c>
      <c r="C3" s="101"/>
      <c r="D3" s="101"/>
      <c r="E3" s="101"/>
      <c r="F3" s="101"/>
      <c r="G3" s="1"/>
    </row>
    <row r="4" spans="1:7" ht="25.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2" t="s">
        <v>104</v>
      </c>
      <c r="C8" s="103"/>
      <c r="D8" s="103"/>
      <c r="E8" s="103"/>
      <c r="F8" s="104"/>
      <c r="G8" s="1"/>
    </row>
    <row r="9" spans="1:7" ht="15" customHeight="1" x14ac:dyDescent="0.25">
      <c r="A9" s="1"/>
      <c r="B9" s="53" t="s">
        <v>105</v>
      </c>
      <c r="C9" s="133" t="s">
        <v>10</v>
      </c>
      <c r="D9" s="135"/>
      <c r="E9" s="133" t="s">
        <v>27</v>
      </c>
      <c r="F9" s="135"/>
      <c r="G9" s="1"/>
    </row>
    <row r="10" spans="1:7" ht="26.25" x14ac:dyDescent="0.25">
      <c r="A10" s="1"/>
      <c r="B10" s="58"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1f3GyyuxlSWPzhHrE34QbiFFSETit/FJs6eAkyDr3gW1cwIOOJdw94IvhQ23i29RynoY7WgvJwqb0cZ+OtjrtQ==" saltValue="9WQwTtH7oE+2gQ4NoeQGD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181</v>
      </c>
      <c r="C3" s="101"/>
      <c r="D3" s="101"/>
      <c r="E3" s="101"/>
      <c r="F3" s="101"/>
      <c r="G3" s="1"/>
    </row>
    <row r="4" spans="1:7" ht="25.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2" t="s">
        <v>237</v>
      </c>
      <c r="C10" s="103"/>
      <c r="D10" s="103"/>
      <c r="E10" s="103"/>
      <c r="F10" s="104"/>
      <c r="G10" s="1"/>
    </row>
    <row r="11" spans="1:7" ht="26.25" x14ac:dyDescent="0.25">
      <c r="A11" s="1"/>
      <c r="B11" s="53" t="s">
        <v>16</v>
      </c>
      <c r="C11" s="53" t="s">
        <v>10</v>
      </c>
      <c r="D11" s="30"/>
      <c r="E11" s="53" t="s">
        <v>27</v>
      </c>
      <c r="F11" s="30"/>
      <c r="G11" s="1"/>
    </row>
    <row r="12" spans="1:7" x14ac:dyDescent="0.25">
      <c r="A12" s="1"/>
      <c r="B12" s="58" t="s">
        <v>242</v>
      </c>
      <c r="C12" s="9">
        <v>0</v>
      </c>
      <c r="D12" s="14" t="s">
        <v>3</v>
      </c>
      <c r="E12" s="9">
        <v>0</v>
      </c>
      <c r="F12" s="14" t="s">
        <v>3</v>
      </c>
      <c r="G12" s="1"/>
    </row>
    <row r="13" spans="1:7" x14ac:dyDescent="0.25">
      <c r="A13" s="1"/>
      <c r="B13" s="51" t="s">
        <v>78</v>
      </c>
      <c r="C13" s="12">
        <f>SUM(C12:C12)</f>
        <v>0</v>
      </c>
      <c r="D13" s="13" t="s">
        <v>3</v>
      </c>
      <c r="E13" s="12">
        <f>SUM(E12:E12)</f>
        <v>0</v>
      </c>
      <c r="F13" s="13" t="s">
        <v>3</v>
      </c>
      <c r="G13" s="1"/>
    </row>
    <row r="14" spans="1:7" x14ac:dyDescent="0.25">
      <c r="A14" s="1"/>
      <c r="B14" s="51"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FxbJWgchjElNPnipHKKcQvGG36VGSUw6iDFixDtSQgtB5JyPK1JQh87BeETZQ5ykgtbLYhd9IG/yiazaIDO4+w==" saltValue="sk485tHuVWDRkBBDpzlJx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1" t="s">
        <v>182</v>
      </c>
      <c r="C3" s="101"/>
      <c r="D3" s="1"/>
    </row>
    <row r="4" spans="1:4" ht="25.5" customHeight="1" x14ac:dyDescent="0.25">
      <c r="A4" s="1"/>
      <c r="B4" s="101"/>
      <c r="C4" s="101"/>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1" t="s">
        <v>13</v>
      </c>
      <c r="C8" s="39"/>
      <c r="D8" s="1"/>
    </row>
    <row r="9" spans="1:4" x14ac:dyDescent="0.25">
      <c r="A9" s="1"/>
      <c r="B9" s="69" t="s">
        <v>93</v>
      </c>
      <c r="C9" s="40">
        <v>1.2699999999999999E-2</v>
      </c>
      <c r="D9" s="1"/>
    </row>
    <row r="10" spans="1:4" x14ac:dyDescent="0.25">
      <c r="A10" s="1"/>
      <c r="B10" s="69" t="s">
        <v>21</v>
      </c>
      <c r="C10" s="40">
        <v>1.7500000000000002E-2</v>
      </c>
      <c r="D10" s="1"/>
    </row>
    <row r="11" spans="1:4" x14ac:dyDescent="0.25">
      <c r="A11" s="1"/>
      <c r="B11" s="69"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2"/>
      <c r="C17" s="104"/>
      <c r="D17" s="1"/>
    </row>
    <row r="18" spans="1:4" x14ac:dyDescent="0.25">
      <c r="A18" s="1"/>
      <c r="B18" s="1"/>
      <c r="C18" s="38"/>
      <c r="D18" s="1"/>
    </row>
    <row r="19" spans="1:4" x14ac:dyDescent="0.25">
      <c r="A19" s="1"/>
      <c r="B19" s="1"/>
      <c r="C19" s="38"/>
      <c r="D19" s="1"/>
    </row>
    <row r="20" spans="1:4" x14ac:dyDescent="0.25">
      <c r="A20" s="1"/>
      <c r="B20" s="51" t="s">
        <v>81</v>
      </c>
      <c r="C20" s="39"/>
      <c r="D20" s="1"/>
    </row>
    <row r="21" spans="1:4" x14ac:dyDescent="0.25">
      <c r="A21" s="1"/>
      <c r="B21" s="69" t="s">
        <v>95</v>
      </c>
      <c r="C21" s="42">
        <v>9.1000000000000004E-3</v>
      </c>
      <c r="D21" s="1"/>
    </row>
    <row r="22" spans="1:4" x14ac:dyDescent="0.25">
      <c r="A22" s="1"/>
      <c r="B22" s="69" t="s">
        <v>96</v>
      </c>
      <c r="C22" s="42">
        <v>1.77E-2</v>
      </c>
      <c r="D22" s="1"/>
    </row>
    <row r="23" spans="1:4" x14ac:dyDescent="0.25">
      <c r="A23" s="1"/>
      <c r="B23" s="69" t="s">
        <v>97</v>
      </c>
      <c r="C23" s="42">
        <v>8.6999999999999994E-3</v>
      </c>
      <c r="D23" s="1"/>
    </row>
    <row r="24" spans="1:4" x14ac:dyDescent="0.25">
      <c r="A24" s="1"/>
      <c r="B24" s="69" t="s">
        <v>98</v>
      </c>
      <c r="C24" s="42">
        <v>2.8400000000000002E-2</v>
      </c>
      <c r="D24" s="1"/>
    </row>
    <row r="25" spans="1:4" x14ac:dyDescent="0.25">
      <c r="A25" s="1"/>
      <c r="B25" s="69" t="s">
        <v>111</v>
      </c>
      <c r="C25" s="42">
        <v>2.75E-2</v>
      </c>
      <c r="D25" s="1"/>
    </row>
    <row r="26" spans="1:4" x14ac:dyDescent="0.25">
      <c r="A26" s="1"/>
      <c r="B26" s="69"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1"/>
      <c r="C29" s="39"/>
      <c r="D29" s="1"/>
    </row>
    <row r="30" spans="1:4" x14ac:dyDescent="0.25">
      <c r="A30" s="1"/>
      <c r="B30" s="1"/>
      <c r="C30" s="38"/>
      <c r="D30" s="1"/>
    </row>
    <row r="31" spans="1:4" x14ac:dyDescent="0.25">
      <c r="A31" s="1"/>
      <c r="B31" s="1"/>
      <c r="C31" s="38"/>
      <c r="D31" s="1"/>
    </row>
    <row r="32" spans="1:4" x14ac:dyDescent="0.25">
      <c r="A32" s="1"/>
      <c r="B32" s="51" t="s">
        <v>82</v>
      </c>
      <c r="C32" s="39"/>
      <c r="D32" s="1"/>
    </row>
    <row r="33" spans="1:4" x14ac:dyDescent="0.25">
      <c r="A33" s="1"/>
      <c r="B33" s="69" t="s">
        <v>99</v>
      </c>
      <c r="C33" s="40">
        <v>0.02</v>
      </c>
      <c r="D33" s="1"/>
    </row>
    <row r="34" spans="1:4" x14ac:dyDescent="0.25">
      <c r="A34" s="1"/>
      <c r="B34" s="51"/>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GBrkZntJQnjdir4a5aO07IR2kpZ+6bR/Sygf3ophhFIZ1EBtGX+EbSX+xc7SMcAQ6xvBWwb8lAHFxlRaef8EVg==" saltValue="93MHJhQ4ADXf9JrMyDy4UA=="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198</v>
      </c>
      <c r="C3" s="98"/>
      <c r="D3" s="98"/>
      <c r="E3" s="1"/>
    </row>
    <row r="4" spans="1:5" ht="15" customHeight="1" x14ac:dyDescent="0.25">
      <c r="A4" s="1"/>
      <c r="B4" s="98"/>
      <c r="C4" s="98"/>
      <c r="D4" s="98"/>
      <c r="E4" s="1"/>
    </row>
    <row r="5" spans="1:5" x14ac:dyDescent="0.25">
      <c r="A5" s="1"/>
      <c r="B5" s="1"/>
      <c r="C5" s="1"/>
      <c r="D5" s="1"/>
      <c r="E5" s="1"/>
    </row>
    <row r="6" spans="1:5" x14ac:dyDescent="0.25">
      <c r="A6" s="1"/>
      <c r="B6" s="1"/>
      <c r="C6" s="1"/>
      <c r="D6" s="1"/>
      <c r="E6" s="1"/>
    </row>
    <row r="7" spans="1:5" x14ac:dyDescent="0.25">
      <c r="A7" s="1"/>
      <c r="B7" s="51" t="s">
        <v>12</v>
      </c>
      <c r="C7" s="52"/>
      <c r="D7" s="19"/>
      <c r="E7" s="1"/>
    </row>
    <row r="8" spans="1:5" x14ac:dyDescent="0.25">
      <c r="A8" s="1"/>
      <c r="B8" s="54" t="s">
        <v>109</v>
      </c>
      <c r="C8" s="7">
        <f>'Fane 3. Omkostninger i ØR2023'!C19</f>
        <v>24580700.192199688</v>
      </c>
      <c r="D8" s="8" t="s">
        <v>3</v>
      </c>
      <c r="E8" s="1"/>
    </row>
    <row r="9" spans="1:5" ht="17.100000000000001" customHeight="1" x14ac:dyDescent="0.25">
      <c r="A9" s="1"/>
      <c r="B9" s="24" t="s">
        <v>33</v>
      </c>
      <c r="C9" s="7">
        <f>'Fane 10.1. Varige tillæg'!C24</f>
        <v>760751.34239999996</v>
      </c>
      <c r="D9" s="8" t="s">
        <v>3</v>
      </c>
      <c r="E9" s="1"/>
    </row>
    <row r="10" spans="1:5" ht="17.100000000000001" customHeight="1" x14ac:dyDescent="0.25">
      <c r="A10" s="1"/>
      <c r="B10" s="24" t="s">
        <v>34</v>
      </c>
      <c r="C10" s="9">
        <f>'Fane 10.1. Varige tillæg'!E24</f>
        <v>615206.49120000005</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986250.31979718897</v>
      </c>
      <c r="D15" s="8" t="s">
        <v>3</v>
      </c>
      <c r="E15" s="1"/>
    </row>
    <row r="16" spans="1:5" ht="17.100000000000001" customHeight="1" x14ac:dyDescent="0.25">
      <c r="A16" s="1"/>
      <c r="B16" s="24" t="s">
        <v>9</v>
      </c>
      <c r="C16" s="9">
        <f>-SUM(C8,C9:C15)*'Fane 5. Individuelt eff. krav'!G9</f>
        <v>-538858.16691193753</v>
      </c>
      <c r="D16" s="8" t="s">
        <v>3</v>
      </c>
      <c r="E16" s="1"/>
    </row>
    <row r="17" spans="1:5" ht="17.100000000000001" customHeight="1" x14ac:dyDescent="0.25">
      <c r="A17" s="1"/>
      <c r="B17" s="24" t="s">
        <v>22</v>
      </c>
      <c r="C17" s="9">
        <f>-'Fane 4.1. Gen. krav - drift'!G49</f>
        <v>-229527.85541558277</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4" t="s">
        <v>19</v>
      </c>
      <c r="C19" s="10">
        <f>SUM(C8:C18)</f>
        <v>26174522.323269356</v>
      </c>
      <c r="D19" s="11" t="s">
        <v>3</v>
      </c>
      <c r="E19" s="1"/>
    </row>
    <row r="20" spans="1:5" ht="15" customHeight="1" x14ac:dyDescent="0.25">
      <c r="A20" s="1"/>
      <c r="B20" s="51" t="s">
        <v>11</v>
      </c>
      <c r="C20" s="52"/>
      <c r="D20" s="19"/>
      <c r="E20" s="1"/>
    </row>
    <row r="21" spans="1:5" ht="15" customHeight="1" x14ac:dyDescent="0.25">
      <c r="A21" s="1"/>
      <c r="B21" s="53" t="s">
        <v>11</v>
      </c>
      <c r="C21" s="10">
        <f>'Fane 6. Ikke-påvirkelige omk.'!C20</f>
        <v>11334909.51977543</v>
      </c>
      <c r="D21" s="11" t="s">
        <v>3</v>
      </c>
      <c r="E21" s="1"/>
    </row>
    <row r="22" spans="1:5" ht="15" customHeight="1" x14ac:dyDescent="0.25">
      <c r="A22" s="1"/>
      <c r="B22" s="51" t="s">
        <v>75</v>
      </c>
      <c r="C22" s="52"/>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4" t="s">
        <v>76</v>
      </c>
      <c r="C27" s="10">
        <f>SUM(C23:C26)</f>
        <v>0</v>
      </c>
      <c r="D27" s="11" t="s">
        <v>3</v>
      </c>
      <c r="E27" s="1"/>
    </row>
    <row r="28" spans="1:5" ht="15" customHeight="1" x14ac:dyDescent="0.25">
      <c r="A28" s="1"/>
      <c r="B28" s="26" t="s">
        <v>117</v>
      </c>
      <c r="C28" s="52"/>
      <c r="D28" s="19"/>
      <c r="E28" s="1"/>
    </row>
    <row r="29" spans="1:5" x14ac:dyDescent="0.25">
      <c r="A29" s="1"/>
      <c r="B29" s="73" t="s">
        <v>118</v>
      </c>
      <c r="C29" s="10">
        <f>'Fane 7. Kontrol af ØR2022'!E27</f>
        <v>55755.219999998808</v>
      </c>
      <c r="D29" s="11" t="s">
        <v>3</v>
      </c>
      <c r="E29" s="1"/>
    </row>
    <row r="30" spans="1:5" x14ac:dyDescent="0.25">
      <c r="A30" s="1"/>
      <c r="B30" s="26" t="s">
        <v>138</v>
      </c>
      <c r="C30" s="52"/>
      <c r="D30" s="19"/>
      <c r="E30" s="1"/>
    </row>
    <row r="31" spans="1:5" x14ac:dyDescent="0.25">
      <c r="A31" s="1"/>
      <c r="B31" s="73" t="s">
        <v>139</v>
      </c>
      <c r="C31" s="10">
        <f>'Fane 8. Skattesagen'!G13</f>
        <v>0</v>
      </c>
      <c r="D31" s="11" t="s">
        <v>3</v>
      </c>
      <c r="E31" s="1"/>
    </row>
    <row r="32" spans="1:5" x14ac:dyDescent="0.25">
      <c r="A32" s="1"/>
      <c r="B32" s="51" t="s">
        <v>126</v>
      </c>
      <c r="C32" s="33">
        <f>SUM(C19,C21,C27,C29,C31)</f>
        <v>37565187.063044786</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zwctLhHArwFJiRGtImBgRaHs1UUcoLJNekTqgmtPOX497HPJ+/tv4bTArrnFfY4RFJWigtsKEAfPyMEqFoErdg==" saltValue="EUhXqaxKptUwGtgPCxH9c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199</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51" t="s">
        <v>12</v>
      </c>
      <c r="C7" s="52"/>
      <c r="D7" s="19"/>
      <c r="E7" s="1"/>
    </row>
    <row r="8" spans="1:5" ht="15" customHeight="1" x14ac:dyDescent="0.25">
      <c r="A8" s="1"/>
      <c r="B8" s="54" t="s">
        <v>127</v>
      </c>
      <c r="C8" s="7">
        <f>'Fane 2.1. Økonomisk ramme 2024'!C19</f>
        <v>26174522.323269356</v>
      </c>
      <c r="D8" s="8" t="s">
        <v>3</v>
      </c>
      <c r="E8" s="1"/>
    </row>
    <row r="9" spans="1:5" ht="15" customHeight="1" x14ac:dyDescent="0.25">
      <c r="A9" s="1"/>
      <c r="B9" s="29" t="s">
        <v>17</v>
      </c>
      <c r="C9" s="9">
        <f>SUM(C8:C8)*'Fane 13. Nøgletal'!C16</f>
        <v>2114901.4037201637</v>
      </c>
      <c r="D9" s="8" t="s">
        <v>3</v>
      </c>
      <c r="E9" s="1"/>
    </row>
    <row r="10" spans="1:5" ht="15" customHeight="1" x14ac:dyDescent="0.25">
      <c r="A10" s="1"/>
      <c r="B10" s="29" t="s">
        <v>9</v>
      </c>
      <c r="C10" s="9">
        <f>-SUM(C8:C9)*'Fane 5. Individuelt eff. krav'!G9</f>
        <v>-565788.47453979042</v>
      </c>
      <c r="D10" s="8" t="s">
        <v>3</v>
      </c>
      <c r="E10" s="1"/>
    </row>
    <row r="11" spans="1:5" ht="15" customHeight="1" x14ac:dyDescent="0.25">
      <c r="A11" s="1"/>
      <c r="B11" s="29" t="s">
        <v>22</v>
      </c>
      <c r="C11" s="9">
        <f>-'Fane 4.1. Gen. krav - drift'!G54</f>
        <v>-243112.23201049861</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27480523.02043923</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f>
        <v>12250770.208973285</v>
      </c>
      <c r="D15" s="11" t="s">
        <v>3</v>
      </c>
      <c r="E15" s="1"/>
    </row>
    <row r="16" spans="1:5" x14ac:dyDescent="0.25">
      <c r="A16" s="1"/>
      <c r="B16" s="26" t="s">
        <v>117</v>
      </c>
      <c r="C16" s="52"/>
      <c r="D16" s="19"/>
      <c r="E16" s="1"/>
    </row>
    <row r="17" spans="1:5" ht="15" customHeight="1" x14ac:dyDescent="0.25">
      <c r="A17" s="1"/>
      <c r="B17" s="73" t="s">
        <v>118</v>
      </c>
      <c r="C17" s="10">
        <f>'Fane 7. Kontrol af ØR2022'!E33</f>
        <v>0</v>
      </c>
      <c r="D17" s="11" t="s">
        <v>3</v>
      </c>
      <c r="E17" s="1"/>
    </row>
    <row r="18" spans="1:5" x14ac:dyDescent="0.25">
      <c r="A18" s="1"/>
      <c r="B18" s="26" t="s">
        <v>138</v>
      </c>
      <c r="C18" s="52"/>
      <c r="D18" s="19"/>
      <c r="E18" s="1"/>
    </row>
    <row r="19" spans="1:5" x14ac:dyDescent="0.25">
      <c r="A19" s="1"/>
      <c r="B19" s="73" t="s">
        <v>139</v>
      </c>
      <c r="C19" s="10">
        <f>'Fane 8. Skattesagen'!G13</f>
        <v>0</v>
      </c>
      <c r="D19" s="11" t="s">
        <v>3</v>
      </c>
      <c r="E19" s="1"/>
    </row>
    <row r="20" spans="1:5" x14ac:dyDescent="0.25">
      <c r="A20" s="1"/>
      <c r="B20" s="51" t="s">
        <v>128</v>
      </c>
      <c r="C20" s="12">
        <f>SUM(C13,C15,C17,C19)</f>
        <v>39731293.229412511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CDWoKEMsmAUN1/5bnhpSDm5US7SuyMN/BwgdovMpgY8Q7t8xBelWalROPpEoR5XDpi9SnOF9XeAWqLf3PDovJw==" saltValue="GltIOhiQdjk9coGFQBKV6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200</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51" t="s">
        <v>12</v>
      </c>
      <c r="C7" s="52"/>
      <c r="D7" s="19"/>
      <c r="E7" s="1"/>
    </row>
    <row r="8" spans="1:5" ht="15" customHeight="1" x14ac:dyDescent="0.25">
      <c r="A8" s="1"/>
      <c r="B8" s="54" t="s">
        <v>142</v>
      </c>
      <c r="C8" s="7">
        <f>'Fane 2.2. Økonomisk ramme 2025'!C13</f>
        <v>27480523.02043923</v>
      </c>
      <c r="D8" s="8" t="s">
        <v>3</v>
      </c>
      <c r="E8" s="1"/>
    </row>
    <row r="9" spans="1:5" ht="15" customHeight="1" x14ac:dyDescent="0.25">
      <c r="A9" s="1"/>
      <c r="B9" s="29" t="s">
        <v>17</v>
      </c>
      <c r="C9" s="9">
        <f>SUM(C8:C8)*'Fane 13. Nøgletal'!C16</f>
        <v>2220426.2600514898</v>
      </c>
      <c r="D9" s="8" t="s">
        <v>3</v>
      </c>
      <c r="E9" s="1"/>
    </row>
    <row r="10" spans="1:5" ht="15" customHeight="1" x14ac:dyDescent="0.25">
      <c r="A10" s="1"/>
      <c r="B10" s="29" t="s">
        <v>9</v>
      </c>
      <c r="C10" s="9">
        <f>-SUM(C8:C9)*'Fane 5. Individuelt eff. krav'!G9</f>
        <v>-594018.98560981441</v>
      </c>
      <c r="D10" s="8" t="s">
        <v>3</v>
      </c>
      <c r="E10" s="1"/>
    </row>
    <row r="11" spans="1:5" ht="15" customHeight="1" x14ac:dyDescent="0.25">
      <c r="A11" s="1"/>
      <c r="B11" s="29" t="s">
        <v>22</v>
      </c>
      <c r="C11" s="9">
        <f>-'Fane 4.1. Gen. krav - drift'!G59</f>
        <v>-257500.58634980794</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28849429.708531097</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Nøgletal'!C16)^2</f>
        <v>13240632.441858325</v>
      </c>
      <c r="D15" s="11" t="s">
        <v>3</v>
      </c>
      <c r="E15" s="1"/>
    </row>
    <row r="16" spans="1:5" x14ac:dyDescent="0.25">
      <c r="A16" s="1"/>
      <c r="B16" s="51" t="s">
        <v>117</v>
      </c>
      <c r="C16" s="52"/>
      <c r="D16" s="19"/>
      <c r="E16" s="1"/>
    </row>
    <row r="17" spans="1:5" x14ac:dyDescent="0.25">
      <c r="A17" s="1"/>
      <c r="B17" s="53" t="s">
        <v>118</v>
      </c>
      <c r="C17" s="10">
        <f>'Fane 7. Kontrol af ØR2022'!E33</f>
        <v>0</v>
      </c>
      <c r="D17" s="11" t="s">
        <v>3</v>
      </c>
      <c r="E17" s="1"/>
    </row>
    <row r="18" spans="1:5" ht="15" customHeight="1" x14ac:dyDescent="0.25">
      <c r="A18" s="1"/>
      <c r="B18" s="26" t="s">
        <v>138</v>
      </c>
      <c r="C18" s="52"/>
      <c r="D18" s="19"/>
      <c r="E18" s="1"/>
    </row>
    <row r="19" spans="1:5" ht="15" customHeight="1" x14ac:dyDescent="0.25">
      <c r="A19" s="1"/>
      <c r="B19" s="73" t="s">
        <v>139</v>
      </c>
      <c r="C19" s="10">
        <f>'Fane 8. Skattesagen'!G14</f>
        <v>0</v>
      </c>
      <c r="D19" s="11" t="s">
        <v>3</v>
      </c>
      <c r="E19" s="1"/>
    </row>
    <row r="20" spans="1:5" x14ac:dyDescent="0.25">
      <c r="A20" s="1"/>
      <c r="B20" s="51" t="s">
        <v>143</v>
      </c>
      <c r="C20" s="12">
        <f>SUM(C13,C15,C17,C19)</f>
        <v>42090062.150389418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Qg0HuWJ7LADcgp56vN1yuADcWvpWT/0eOkaHBrslH0knkmj/yGzdtM67jwTyIWsRn1yden+9QBYbSq8UM+abTQ==" saltValue="r3nUrIhn+cSXsX554lZFE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204</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51" t="s">
        <v>12</v>
      </c>
      <c r="C7" s="52"/>
      <c r="D7" s="19"/>
      <c r="E7" s="1"/>
    </row>
    <row r="8" spans="1:5" ht="15" customHeight="1" x14ac:dyDescent="0.25">
      <c r="A8" s="1"/>
      <c r="B8" s="54" t="s">
        <v>203</v>
      </c>
      <c r="C8" s="7">
        <f>'Fane 2.3. Økonomisk ramme 2026'!C13</f>
        <v>28849429.708531097</v>
      </c>
      <c r="D8" s="8" t="s">
        <v>3</v>
      </c>
      <c r="E8" s="1"/>
    </row>
    <row r="9" spans="1:5" ht="15" customHeight="1" x14ac:dyDescent="0.25">
      <c r="A9" s="1"/>
      <c r="B9" s="29" t="s">
        <v>17</v>
      </c>
      <c r="C9" s="9">
        <f>SUM(C8:C8)*'Fane 13. Nøgletal'!C16</f>
        <v>2331033.9204493123</v>
      </c>
      <c r="D9" s="8" t="s">
        <v>3</v>
      </c>
      <c r="E9" s="1"/>
    </row>
    <row r="10" spans="1:5" ht="15" customHeight="1" x14ac:dyDescent="0.25">
      <c r="A10" s="1"/>
      <c r="B10" s="29" t="s">
        <v>9</v>
      </c>
      <c r="C10" s="9">
        <f>-SUM(C8:C9)*'Fane 5. Individuelt eff. krav'!G9</f>
        <v>-623609.27257960825</v>
      </c>
      <c r="D10" s="8" t="s">
        <v>3</v>
      </c>
      <c r="E10" s="1"/>
    </row>
    <row r="11" spans="1:5" ht="15" customHeight="1" x14ac:dyDescent="0.25">
      <c r="A11" s="1"/>
      <c r="B11" s="29" t="s">
        <v>22</v>
      </c>
      <c r="C11" s="9">
        <f>-'Fane 4.1. Gen. krav - drift'!G64</f>
        <v>-272740.50105233496</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30284113.855348468</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Nøgletal'!C16)^3</f>
        <v>14310475.543160478</v>
      </c>
      <c r="D15" s="11" t="s">
        <v>3</v>
      </c>
      <c r="E15" s="1"/>
    </row>
    <row r="16" spans="1:5" x14ac:dyDescent="0.25">
      <c r="A16" s="1"/>
      <c r="B16" s="51" t="s">
        <v>117</v>
      </c>
      <c r="C16" s="52"/>
      <c r="D16" s="19"/>
      <c r="E16" s="1"/>
    </row>
    <row r="17" spans="1:5" x14ac:dyDescent="0.25">
      <c r="A17" s="1"/>
      <c r="B17" s="53" t="s">
        <v>118</v>
      </c>
      <c r="C17" s="10">
        <v>0</v>
      </c>
      <c r="D17" s="11" t="s">
        <v>3</v>
      </c>
      <c r="E17" s="1"/>
    </row>
    <row r="18" spans="1:5" x14ac:dyDescent="0.25">
      <c r="A18" s="1"/>
      <c r="B18" s="26" t="s">
        <v>138</v>
      </c>
      <c r="C18" s="52"/>
      <c r="D18" s="19"/>
      <c r="E18" s="1"/>
    </row>
    <row r="19" spans="1:5" x14ac:dyDescent="0.25">
      <c r="A19" s="1"/>
      <c r="B19" s="73" t="s">
        <v>139</v>
      </c>
      <c r="C19" s="10">
        <f>'Fane 8. Skattesagen'!G15</f>
        <v>0</v>
      </c>
      <c r="D19" s="11" t="s">
        <v>3</v>
      </c>
      <c r="E19" s="1"/>
    </row>
    <row r="20" spans="1:5" x14ac:dyDescent="0.25">
      <c r="A20" s="1"/>
      <c r="B20" s="51" t="s">
        <v>205</v>
      </c>
      <c r="C20" s="12">
        <f>SUM(C13,C15,C17,C19)</f>
        <v>44594589.398508944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TBQrHvcdx3z4kGe1wuSVRXmHYARnj2l7vpOpJ+hzohyWfW705ld912q+ILKWwHQf+fBHUi3IbV2bib3wAMRvQ==" saltValue="4R3ao32BPVxlcG5FPpgvI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7109375" style="2" customWidth="1"/>
    <col min="2" max="2" width="56.85546875" style="2" customWidth="1"/>
    <col min="3" max="3" width="12.85546875" style="2" bestFit="1" customWidth="1"/>
    <col min="4" max="4" width="3" style="2" customWidth="1"/>
    <col min="5" max="5" width="6.140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1" t="s">
        <v>201</v>
      </c>
      <c r="C3" s="101"/>
      <c r="D3" s="101"/>
      <c r="E3" s="1"/>
    </row>
    <row r="4" spans="1:5" x14ac:dyDescent="0.25">
      <c r="A4" s="1"/>
      <c r="B4" s="101"/>
      <c r="C4" s="101"/>
      <c r="D4" s="101"/>
      <c r="E4" s="1"/>
    </row>
    <row r="5" spans="1:5" x14ac:dyDescent="0.25">
      <c r="A5" s="1"/>
      <c r="B5" s="1"/>
      <c r="C5" s="1"/>
      <c r="D5" s="1"/>
      <c r="E5" s="1"/>
    </row>
    <row r="6" spans="1:5" x14ac:dyDescent="0.25">
      <c r="A6" s="1"/>
      <c r="B6" s="1"/>
      <c r="C6" s="1"/>
      <c r="D6" s="1"/>
      <c r="E6" s="1"/>
    </row>
    <row r="7" spans="1:5" x14ac:dyDescent="0.25">
      <c r="A7" s="1"/>
      <c r="B7" s="51" t="s">
        <v>202</v>
      </c>
      <c r="C7" s="52"/>
      <c r="D7" s="19"/>
      <c r="E7" s="1"/>
    </row>
    <row r="8" spans="1:5" x14ac:dyDescent="0.25">
      <c r="A8" s="1"/>
      <c r="B8" s="54" t="s">
        <v>108</v>
      </c>
      <c r="C8" s="7">
        <v>22527256.195390087</v>
      </c>
      <c r="D8" s="8" t="s">
        <v>3</v>
      </c>
      <c r="E8" s="1"/>
    </row>
    <row r="9" spans="1:5" x14ac:dyDescent="0.25">
      <c r="A9" s="1"/>
      <c r="B9" s="24" t="s">
        <v>33</v>
      </c>
      <c r="C9" s="7">
        <v>784993.08480000007</v>
      </c>
      <c r="D9" s="8" t="s">
        <v>3</v>
      </c>
      <c r="E9" s="1"/>
    </row>
    <row r="10" spans="1:5" x14ac:dyDescent="0.25">
      <c r="A10" s="1"/>
      <c r="B10" s="24" t="s">
        <v>34</v>
      </c>
      <c r="C10" s="9">
        <v>1114739.5164000001</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869600.80115860724</v>
      </c>
      <c r="D15" s="8" t="s">
        <v>3</v>
      </c>
      <c r="E15" s="1"/>
    </row>
    <row r="16" spans="1:5" x14ac:dyDescent="0.25">
      <c r="A16" s="1"/>
      <c r="B16" s="24" t="s">
        <v>9</v>
      </c>
      <c r="C16" s="9">
        <v>-505931.79195497395</v>
      </c>
      <c r="D16" s="8" t="s">
        <v>3</v>
      </c>
      <c r="E16" s="1"/>
    </row>
    <row r="17" spans="1:5" x14ac:dyDescent="0.25">
      <c r="A17" s="1"/>
      <c r="B17" s="24" t="s">
        <v>22</v>
      </c>
      <c r="C17" s="9">
        <v>-209957.61359403309</v>
      </c>
      <c r="D17" s="8" t="s">
        <v>3</v>
      </c>
      <c r="E17" s="1"/>
    </row>
    <row r="18" spans="1:5" x14ac:dyDescent="0.25">
      <c r="A18" s="1"/>
      <c r="B18" s="24" t="s">
        <v>23</v>
      </c>
      <c r="C18" s="9">
        <v>0</v>
      </c>
      <c r="D18" s="8" t="s">
        <v>3</v>
      </c>
      <c r="E18" s="1"/>
    </row>
    <row r="19" spans="1:5" x14ac:dyDescent="0.25">
      <c r="A19" s="1"/>
      <c r="B19" s="74" t="s">
        <v>19</v>
      </c>
      <c r="C19" s="10">
        <v>24580700.192199688</v>
      </c>
      <c r="D19" s="11" t="s">
        <v>3</v>
      </c>
      <c r="E19" s="1"/>
    </row>
    <row r="20" spans="1:5" x14ac:dyDescent="0.25">
      <c r="A20" s="1"/>
      <c r="B20" s="51" t="s">
        <v>11</v>
      </c>
      <c r="C20" s="52"/>
      <c r="D20" s="19"/>
      <c r="E20" s="1"/>
    </row>
    <row r="21" spans="1:5" x14ac:dyDescent="0.25">
      <c r="A21" s="1"/>
      <c r="B21" s="53" t="s">
        <v>11</v>
      </c>
      <c r="C21" s="10">
        <v>10767447.469923969</v>
      </c>
      <c r="D21" s="11" t="s">
        <v>3</v>
      </c>
      <c r="E21" s="1"/>
    </row>
    <row r="22" spans="1:5" x14ac:dyDescent="0.25">
      <c r="A22" s="1"/>
      <c r="B22" s="51" t="s">
        <v>75</v>
      </c>
      <c r="C22" s="52"/>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4" t="s">
        <v>76</v>
      </c>
      <c r="C27" s="56">
        <v>0</v>
      </c>
      <c r="D27" s="11" t="s">
        <v>3</v>
      </c>
      <c r="E27" s="1"/>
    </row>
    <row r="28" spans="1:5" x14ac:dyDescent="0.25">
      <c r="A28" s="1"/>
      <c r="B28" s="26" t="s">
        <v>117</v>
      </c>
      <c r="C28" s="52"/>
      <c r="D28" s="19"/>
      <c r="E28" s="1"/>
    </row>
    <row r="29" spans="1:5" x14ac:dyDescent="0.25">
      <c r="A29" s="1"/>
      <c r="B29" s="73" t="s">
        <v>118</v>
      </c>
      <c r="C29" s="10">
        <v>-79450.654617596403</v>
      </c>
      <c r="D29" s="11" t="s">
        <v>3</v>
      </c>
      <c r="E29" s="1"/>
    </row>
    <row r="30" spans="1:5" x14ac:dyDescent="0.25">
      <c r="A30" s="1"/>
      <c r="B30" s="26" t="s">
        <v>138</v>
      </c>
      <c r="C30" s="52"/>
      <c r="D30" s="19"/>
      <c r="E30" s="1"/>
    </row>
    <row r="31" spans="1:5" x14ac:dyDescent="0.25">
      <c r="A31" s="1"/>
      <c r="B31" s="73" t="s">
        <v>139</v>
      </c>
      <c r="C31" s="10">
        <v>0</v>
      </c>
      <c r="D31" s="11" t="s">
        <v>3</v>
      </c>
      <c r="E31" s="1"/>
    </row>
    <row r="32" spans="1:5" x14ac:dyDescent="0.25">
      <c r="A32" s="1"/>
      <c r="B32" s="51" t="s">
        <v>239</v>
      </c>
      <c r="C32" s="33">
        <v>35268697.007506065</v>
      </c>
      <c r="D32" s="19" t="s">
        <v>3</v>
      </c>
      <c r="E32" s="1"/>
    </row>
    <row r="33" spans="1:5" ht="30" customHeight="1" x14ac:dyDescent="0.25">
      <c r="A33" s="1"/>
      <c r="B33" s="100" t="s">
        <v>240</v>
      </c>
      <c r="C33" s="100"/>
      <c r="D33" s="100"/>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57"/>
    </row>
  </sheetData>
  <sheetProtection algorithmName="SHA-512" hashValue="hWm35IB4F+8JuYL6tQ5Nn3sBjYHH17HxlWtxmgjsgu47ZkXP0xUH8hZ/IvEA0eRR0Suo1rZFo5BJrsrBonTFLw==" saltValue="cL/h2rt8ihdcQd0LMTvPkg=="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1" t="s">
        <v>90</v>
      </c>
      <c r="C1" s="101"/>
      <c r="D1" s="101"/>
      <c r="E1" s="101"/>
      <c r="F1" s="101"/>
      <c r="G1" s="101"/>
      <c r="H1" s="101"/>
      <c r="I1" s="1"/>
    </row>
    <row r="2" spans="1:9" ht="15" customHeight="1" x14ac:dyDescent="0.25">
      <c r="A2" s="1"/>
      <c r="B2" s="101"/>
      <c r="C2" s="101"/>
      <c r="D2" s="101"/>
      <c r="E2" s="101"/>
      <c r="F2" s="101"/>
      <c r="G2" s="101"/>
      <c r="H2" s="101"/>
      <c r="I2" s="1"/>
    </row>
    <row r="3" spans="1:9" ht="15" customHeight="1" x14ac:dyDescent="0.25">
      <c r="A3" s="1"/>
      <c r="B3" s="101"/>
      <c r="C3" s="101"/>
      <c r="D3" s="101"/>
      <c r="E3" s="101"/>
      <c r="F3" s="101"/>
      <c r="G3" s="101"/>
      <c r="H3" s="101"/>
      <c r="I3" s="1"/>
    </row>
    <row r="4" spans="1:9" x14ac:dyDescent="0.25">
      <c r="A4" s="1"/>
      <c r="B4" s="102" t="s">
        <v>44</v>
      </c>
      <c r="C4" s="103"/>
      <c r="D4" s="103"/>
      <c r="E4" s="103"/>
      <c r="F4" s="103"/>
      <c r="G4" s="103"/>
      <c r="H4" s="104"/>
      <c r="I4" s="1"/>
    </row>
    <row r="5" spans="1:9" x14ac:dyDescent="0.25">
      <c r="A5" s="1"/>
      <c r="B5" s="105" t="s">
        <v>36</v>
      </c>
      <c r="C5" s="106"/>
      <c r="D5" s="106"/>
      <c r="E5" s="106"/>
      <c r="F5" s="107"/>
      <c r="G5" s="47">
        <v>9379425</v>
      </c>
      <c r="H5" s="14" t="s">
        <v>3</v>
      </c>
      <c r="I5" s="1"/>
    </row>
    <row r="6" spans="1:9" x14ac:dyDescent="0.25">
      <c r="A6" s="1"/>
      <c r="B6" s="105" t="s">
        <v>37</v>
      </c>
      <c r="C6" s="106"/>
      <c r="D6" s="106"/>
      <c r="E6" s="106"/>
      <c r="F6" s="107"/>
      <c r="G6" s="22">
        <f>G5*'Fane 13. Nøgletal'!C33</f>
        <v>187588.5</v>
      </c>
      <c r="H6" s="14" t="s">
        <v>3</v>
      </c>
      <c r="I6" s="1"/>
    </row>
    <row r="7" spans="1:9" x14ac:dyDescent="0.25">
      <c r="A7" s="1"/>
      <c r="B7" s="51"/>
      <c r="C7" s="52"/>
      <c r="D7" s="52"/>
      <c r="E7" s="52"/>
      <c r="F7" s="52"/>
      <c r="G7" s="35"/>
      <c r="H7" s="19"/>
      <c r="I7" s="1"/>
    </row>
    <row r="8" spans="1:9" x14ac:dyDescent="0.25">
      <c r="A8" s="1"/>
      <c r="B8" s="1"/>
      <c r="C8" s="1"/>
      <c r="D8" s="1"/>
      <c r="E8" s="1"/>
      <c r="F8" s="1"/>
      <c r="G8" s="36"/>
      <c r="H8" s="1"/>
      <c r="I8" s="1"/>
    </row>
    <row r="9" spans="1:9" x14ac:dyDescent="0.25">
      <c r="A9" s="1"/>
      <c r="B9" s="102" t="s">
        <v>45</v>
      </c>
      <c r="C9" s="103"/>
      <c r="D9" s="103"/>
      <c r="E9" s="103"/>
      <c r="F9" s="103"/>
      <c r="G9" s="103"/>
      <c r="H9" s="104"/>
      <c r="I9" s="1"/>
    </row>
    <row r="10" spans="1:9" x14ac:dyDescent="0.25">
      <c r="A10" s="1"/>
      <c r="B10" s="105" t="s">
        <v>38</v>
      </c>
      <c r="C10" s="106"/>
      <c r="D10" s="106"/>
      <c r="E10" s="106"/>
      <c r="F10" s="107"/>
      <c r="G10" s="22">
        <f>(G5-G6)*(1+'Fane 13. Nøgletal'!C9)</f>
        <v>9308572.8235499989</v>
      </c>
      <c r="H10" s="14" t="s">
        <v>3</v>
      </c>
      <c r="I10" s="1"/>
    </row>
    <row r="11" spans="1:9" x14ac:dyDescent="0.25">
      <c r="A11" s="1"/>
      <c r="B11" s="108" t="s">
        <v>228</v>
      </c>
      <c r="C11" s="109"/>
      <c r="D11" s="109"/>
      <c r="E11" s="109"/>
      <c r="F11" s="110"/>
      <c r="G11" s="47">
        <v>0</v>
      </c>
      <c r="H11" s="14" t="s">
        <v>3</v>
      </c>
      <c r="I11" s="1"/>
    </row>
    <row r="12" spans="1:9" x14ac:dyDescent="0.25">
      <c r="A12" s="1"/>
      <c r="B12" s="105" t="s">
        <v>39</v>
      </c>
      <c r="C12" s="106"/>
      <c r="D12" s="106"/>
      <c r="E12" s="106"/>
      <c r="F12" s="107"/>
      <c r="G12" s="22">
        <f>(G10+G11)*'Fane 13. Nøgletal'!C33</f>
        <v>186171.45647099998</v>
      </c>
      <c r="H12" s="14" t="s">
        <v>3</v>
      </c>
      <c r="I12" s="1"/>
    </row>
    <row r="13" spans="1:9" x14ac:dyDescent="0.25">
      <c r="A13" s="1"/>
      <c r="B13" s="51"/>
      <c r="C13" s="52"/>
      <c r="D13" s="52"/>
      <c r="E13" s="52"/>
      <c r="F13" s="52"/>
      <c r="G13" s="35"/>
      <c r="H13" s="19"/>
      <c r="I13" s="1"/>
    </row>
    <row r="14" spans="1:9" x14ac:dyDescent="0.25">
      <c r="A14" s="1"/>
      <c r="B14" s="1"/>
      <c r="C14" s="1"/>
      <c r="D14" s="1"/>
      <c r="E14" s="1"/>
      <c r="F14" s="1"/>
      <c r="G14" s="36"/>
      <c r="H14" s="1"/>
      <c r="I14" s="1"/>
    </row>
    <row r="15" spans="1:9" x14ac:dyDescent="0.25">
      <c r="A15" s="1"/>
      <c r="B15" s="102" t="s">
        <v>46</v>
      </c>
      <c r="C15" s="103"/>
      <c r="D15" s="103"/>
      <c r="E15" s="103"/>
      <c r="F15" s="103"/>
      <c r="G15" s="103"/>
      <c r="H15" s="104"/>
      <c r="I15" s="1"/>
    </row>
    <row r="16" spans="1:9" x14ac:dyDescent="0.25">
      <c r="A16" s="1"/>
      <c r="B16" s="105" t="s">
        <v>40</v>
      </c>
      <c r="C16" s="106"/>
      <c r="D16" s="106"/>
      <c r="E16" s="106"/>
      <c r="F16" s="107"/>
      <c r="G16" s="22">
        <f>(G10+G11-G12)*(1+'Fane 13. Nøgletal'!C11)</f>
        <v>9276569.9501826335</v>
      </c>
      <c r="H16" s="14" t="s">
        <v>3</v>
      </c>
      <c r="I16" s="1"/>
    </row>
    <row r="17" spans="1:9" x14ac:dyDescent="0.25">
      <c r="A17" s="1"/>
      <c r="B17" s="105" t="s">
        <v>100</v>
      </c>
      <c r="C17" s="106"/>
      <c r="D17" s="106"/>
      <c r="E17" s="106"/>
      <c r="F17" s="107"/>
      <c r="G17" s="47">
        <v>0</v>
      </c>
      <c r="H17" s="14" t="s">
        <v>3</v>
      </c>
      <c r="I17" s="1"/>
    </row>
    <row r="18" spans="1:9" x14ac:dyDescent="0.25">
      <c r="A18" s="1"/>
      <c r="B18" s="108" t="s">
        <v>229</v>
      </c>
      <c r="C18" s="109"/>
      <c r="D18" s="109"/>
      <c r="E18" s="109"/>
      <c r="F18" s="110"/>
      <c r="G18" s="47">
        <v>0</v>
      </c>
      <c r="H18" s="14" t="s">
        <v>3</v>
      </c>
      <c r="I18" s="1"/>
    </row>
    <row r="19" spans="1:9" x14ac:dyDescent="0.25">
      <c r="A19" s="1"/>
      <c r="B19" s="105" t="s">
        <v>41</v>
      </c>
      <c r="C19" s="106"/>
      <c r="D19" s="106"/>
      <c r="E19" s="106"/>
      <c r="F19" s="107"/>
      <c r="G19" s="22">
        <f>SUM(G16:G18)*'Fane 13. Nøgletal'!C33</f>
        <v>185531.39900365268</v>
      </c>
      <c r="H19" s="14" t="s">
        <v>3</v>
      </c>
      <c r="I19" s="1"/>
    </row>
    <row r="20" spans="1:9" x14ac:dyDescent="0.25">
      <c r="A20" s="1"/>
      <c r="B20" s="51"/>
      <c r="C20" s="52"/>
      <c r="D20" s="52"/>
      <c r="E20" s="52"/>
      <c r="F20" s="52"/>
      <c r="G20" s="35"/>
      <c r="H20" s="19"/>
      <c r="I20" s="1"/>
    </row>
    <row r="21" spans="1:9" x14ac:dyDescent="0.25">
      <c r="A21" s="1"/>
      <c r="B21" s="1"/>
      <c r="C21" s="1"/>
      <c r="D21" s="1"/>
      <c r="E21" s="1"/>
      <c r="F21" s="1"/>
      <c r="G21" s="36"/>
      <c r="H21" s="1"/>
      <c r="I21" s="1"/>
    </row>
    <row r="22" spans="1:9" x14ac:dyDescent="0.25">
      <c r="A22" s="1"/>
      <c r="B22" s="102" t="s">
        <v>47</v>
      </c>
      <c r="C22" s="103"/>
      <c r="D22" s="103"/>
      <c r="E22" s="103"/>
      <c r="F22" s="103"/>
      <c r="G22" s="103"/>
      <c r="H22" s="104"/>
      <c r="I22" s="1"/>
    </row>
    <row r="23" spans="1:9" x14ac:dyDescent="0.25">
      <c r="A23" s="1"/>
      <c r="B23" s="105" t="s">
        <v>42</v>
      </c>
      <c r="C23" s="106"/>
      <c r="D23" s="106"/>
      <c r="E23" s="106"/>
      <c r="F23" s="107"/>
      <c r="G23" s="22">
        <f>(SUM(G16:G18)-G19)*(1+'Fane 13. Nøgletal'!C11)</f>
        <v>9244677.1026939042</v>
      </c>
      <c r="H23" s="14" t="s">
        <v>3</v>
      </c>
      <c r="I23" s="1"/>
    </row>
    <row r="24" spans="1:9" x14ac:dyDescent="0.25">
      <c r="A24" s="1"/>
      <c r="B24" s="108" t="s">
        <v>230</v>
      </c>
      <c r="C24" s="109"/>
      <c r="D24" s="109"/>
      <c r="E24" s="109"/>
      <c r="F24" s="110"/>
      <c r="G24" s="47">
        <v>35330.959510109999</v>
      </c>
      <c r="H24" s="14" t="s">
        <v>3</v>
      </c>
      <c r="I24" s="1"/>
    </row>
    <row r="25" spans="1:9" x14ac:dyDescent="0.25">
      <c r="A25" s="1"/>
      <c r="B25" s="105" t="s">
        <v>43</v>
      </c>
      <c r="C25" s="106"/>
      <c r="D25" s="106"/>
      <c r="E25" s="106"/>
      <c r="F25" s="107"/>
      <c r="G25" s="22">
        <f>(G23+G24)*'Fane 13. Nøgletal'!C33</f>
        <v>185600.16124408029</v>
      </c>
      <c r="H25" s="14" t="s">
        <v>3</v>
      </c>
      <c r="I25" s="1"/>
    </row>
    <row r="26" spans="1:9" x14ac:dyDescent="0.25">
      <c r="A26" s="1"/>
      <c r="B26" s="51"/>
      <c r="C26" s="52"/>
      <c r="D26" s="52"/>
      <c r="E26" s="52"/>
      <c r="F26" s="52"/>
      <c r="G26" s="35"/>
      <c r="H26" s="19"/>
      <c r="I26" s="1"/>
    </row>
    <row r="27" spans="1:9" x14ac:dyDescent="0.25">
      <c r="A27" s="1"/>
      <c r="B27" s="1"/>
      <c r="C27" s="1"/>
      <c r="D27" s="1"/>
      <c r="E27" s="1"/>
      <c r="F27" s="1"/>
      <c r="G27" s="36"/>
      <c r="H27" s="1"/>
      <c r="I27" s="1"/>
    </row>
    <row r="28" spans="1:9" x14ac:dyDescent="0.25">
      <c r="A28" s="1"/>
      <c r="B28" s="102" t="s">
        <v>121</v>
      </c>
      <c r="C28" s="103"/>
      <c r="D28" s="103"/>
      <c r="E28" s="103"/>
      <c r="F28" s="103"/>
      <c r="G28" s="103"/>
      <c r="H28" s="104"/>
      <c r="I28" s="1"/>
    </row>
    <row r="29" spans="1:9" x14ac:dyDescent="0.25">
      <c r="A29" s="1"/>
      <c r="B29" s="105" t="s">
        <v>50</v>
      </c>
      <c r="C29" s="106"/>
      <c r="D29" s="106"/>
      <c r="E29" s="106"/>
      <c r="F29" s="107"/>
      <c r="G29" s="22">
        <f>(G23+G24-G25)*(1+'Fane 13. Nøgletal'!C13)</f>
        <v>9205359.6773516461</v>
      </c>
      <c r="H29" s="14" t="s">
        <v>3</v>
      </c>
      <c r="I29" s="1"/>
    </row>
    <row r="30" spans="1:9" x14ac:dyDescent="0.25">
      <c r="A30" s="1"/>
      <c r="B30" s="105" t="s">
        <v>231</v>
      </c>
      <c r="C30" s="106"/>
      <c r="D30" s="106"/>
      <c r="E30" s="106"/>
      <c r="F30" s="107"/>
      <c r="G30" s="47">
        <v>78769.36391688</v>
      </c>
      <c r="H30" s="14" t="s">
        <v>3</v>
      </c>
      <c r="I30" s="1"/>
    </row>
    <row r="31" spans="1:9" x14ac:dyDescent="0.25">
      <c r="A31" s="1"/>
      <c r="B31" s="105" t="s">
        <v>115</v>
      </c>
      <c r="C31" s="106"/>
      <c r="D31" s="106"/>
      <c r="E31" s="106"/>
      <c r="F31" s="107"/>
      <c r="G31" s="22">
        <f>(G29+G30)*'Fane 13. Nøgletal'!C33</f>
        <v>185682.5808253705</v>
      </c>
      <c r="H31" s="14" t="s">
        <v>3</v>
      </c>
      <c r="I31" s="1"/>
    </row>
    <row r="32" spans="1:9" x14ac:dyDescent="0.25">
      <c r="A32" s="1"/>
      <c r="B32" s="51"/>
      <c r="C32" s="52"/>
      <c r="D32" s="52"/>
      <c r="E32" s="52"/>
      <c r="F32" s="52"/>
      <c r="G32" s="35"/>
      <c r="H32" s="19"/>
      <c r="I32" s="1"/>
    </row>
    <row r="33" spans="1:9" x14ac:dyDescent="0.25">
      <c r="A33" s="1"/>
      <c r="B33" s="1"/>
      <c r="C33" s="1"/>
      <c r="D33" s="1"/>
      <c r="E33" s="1"/>
      <c r="F33" s="1"/>
      <c r="G33" s="36"/>
      <c r="H33" s="1"/>
      <c r="I33" s="1"/>
    </row>
    <row r="34" spans="1:9" x14ac:dyDescent="0.25">
      <c r="A34" s="1"/>
      <c r="B34" s="102" t="s">
        <v>122</v>
      </c>
      <c r="C34" s="103"/>
      <c r="D34" s="103"/>
      <c r="E34" s="103"/>
      <c r="F34" s="103"/>
      <c r="G34" s="103"/>
      <c r="H34" s="104"/>
      <c r="I34" s="1"/>
    </row>
    <row r="35" spans="1:9" x14ac:dyDescent="0.25">
      <c r="A35" s="1"/>
      <c r="B35" s="105" t="s">
        <v>69</v>
      </c>
      <c r="C35" s="106"/>
      <c r="D35" s="106"/>
      <c r="E35" s="106"/>
      <c r="F35" s="107"/>
      <c r="G35" s="22">
        <f>(G29+G30-G31)*(1+'Fane 13. Nøgletal'!C13)</f>
        <v>9209447.5072605629</v>
      </c>
      <c r="H35" s="14" t="s">
        <v>3</v>
      </c>
      <c r="I35" s="1"/>
    </row>
    <row r="36" spans="1:9" x14ac:dyDescent="0.25">
      <c r="A36" s="1"/>
      <c r="B36" s="105" t="s">
        <v>232</v>
      </c>
      <c r="C36" s="106"/>
      <c r="D36" s="106"/>
      <c r="E36" s="106"/>
      <c r="F36" s="107"/>
      <c r="G36" s="47">
        <v>333419.72509470006</v>
      </c>
      <c r="H36" s="14" t="s">
        <v>3</v>
      </c>
      <c r="I36" s="1"/>
    </row>
    <row r="37" spans="1:9" x14ac:dyDescent="0.25">
      <c r="A37" s="1"/>
      <c r="B37" s="105" t="s">
        <v>123</v>
      </c>
      <c r="C37" s="106"/>
      <c r="D37" s="106"/>
      <c r="E37" s="106"/>
      <c r="F37" s="107"/>
      <c r="G37" s="22">
        <f>(G35+G36)*'Fane 13. Nøgletal'!C33</f>
        <v>190857.34464710526</v>
      </c>
      <c r="H37" s="14" t="s">
        <v>3</v>
      </c>
      <c r="I37" s="1"/>
    </row>
    <row r="38" spans="1:9" x14ac:dyDescent="0.25">
      <c r="A38" s="1"/>
      <c r="B38" s="51"/>
      <c r="C38" s="52"/>
      <c r="D38" s="52"/>
      <c r="E38" s="52"/>
      <c r="F38" s="52"/>
      <c r="G38" s="35"/>
      <c r="H38" s="19"/>
      <c r="I38" s="1"/>
    </row>
    <row r="39" spans="1:9" x14ac:dyDescent="0.25">
      <c r="A39" s="1"/>
      <c r="B39" s="1"/>
      <c r="C39" s="1"/>
      <c r="D39" s="1"/>
      <c r="E39" s="1"/>
      <c r="F39" s="1"/>
      <c r="G39" s="36"/>
      <c r="H39" s="1"/>
      <c r="I39" s="1"/>
    </row>
    <row r="40" spans="1:9" x14ac:dyDescent="0.25">
      <c r="A40" s="1"/>
      <c r="B40" s="102" t="s">
        <v>157</v>
      </c>
      <c r="C40" s="103"/>
      <c r="D40" s="103"/>
      <c r="E40" s="103"/>
      <c r="F40" s="103"/>
      <c r="G40" s="103"/>
      <c r="H40" s="104"/>
      <c r="I40" s="1"/>
    </row>
    <row r="41" spans="1:9" x14ac:dyDescent="0.25">
      <c r="A41" s="1"/>
      <c r="B41" s="105" t="s">
        <v>68</v>
      </c>
      <c r="C41" s="106"/>
      <c r="D41" s="106"/>
      <c r="E41" s="106"/>
      <c r="F41" s="107"/>
      <c r="G41" s="22">
        <f>(G35+G36-G37)*(1+'Fane 13. Nøgletal'!C15)</f>
        <v>9684941.4397105686</v>
      </c>
      <c r="H41" s="14" t="s">
        <v>3</v>
      </c>
      <c r="I41" s="1"/>
    </row>
    <row r="42" spans="1:9" x14ac:dyDescent="0.25">
      <c r="A42" s="1"/>
      <c r="B42" s="105" t="s">
        <v>156</v>
      </c>
      <c r="C42" s="106"/>
      <c r="D42" s="106"/>
      <c r="E42" s="106"/>
      <c r="F42" s="107"/>
      <c r="G42" s="22">
        <v>812938.83861888014</v>
      </c>
      <c r="H42" s="14" t="s">
        <v>3</v>
      </c>
      <c r="I42" s="1"/>
    </row>
    <row r="43" spans="1:9" x14ac:dyDescent="0.25">
      <c r="A43" s="1"/>
      <c r="B43" s="105" t="s">
        <v>166</v>
      </c>
      <c r="C43" s="106"/>
      <c r="D43" s="106"/>
      <c r="E43" s="106"/>
      <c r="F43" s="107"/>
      <c r="G43" s="22">
        <f>(G41+G42)*'Fane 13. Nøgletal'!C33</f>
        <v>209957.60556658899</v>
      </c>
      <c r="H43" s="14" t="s">
        <v>3</v>
      </c>
      <c r="I43" s="1"/>
    </row>
    <row r="44" spans="1:9" x14ac:dyDescent="0.25">
      <c r="A44" s="1"/>
      <c r="B44" s="51"/>
      <c r="C44" s="52"/>
      <c r="D44" s="52"/>
      <c r="E44" s="52"/>
      <c r="F44" s="52"/>
      <c r="G44" s="35"/>
      <c r="H44" s="19"/>
      <c r="I44" s="1"/>
    </row>
    <row r="45" spans="1:9" x14ac:dyDescent="0.25">
      <c r="A45" s="1"/>
      <c r="B45" s="1"/>
      <c r="C45" s="1"/>
      <c r="D45" s="1"/>
      <c r="E45" s="1"/>
      <c r="F45" s="1"/>
      <c r="G45" s="36"/>
      <c r="H45" s="1"/>
      <c r="I45" s="1"/>
    </row>
    <row r="46" spans="1:9" x14ac:dyDescent="0.25">
      <c r="A46" s="1"/>
      <c r="B46" s="102" t="s">
        <v>158</v>
      </c>
      <c r="C46" s="103"/>
      <c r="D46" s="103"/>
      <c r="E46" s="103"/>
      <c r="F46" s="103"/>
      <c r="G46" s="103"/>
      <c r="H46" s="104"/>
      <c r="I46" s="1"/>
    </row>
    <row r="47" spans="1:9" x14ac:dyDescent="0.25">
      <c r="A47" s="1"/>
      <c r="B47" s="105" t="s">
        <v>112</v>
      </c>
      <c r="C47" s="106"/>
      <c r="D47" s="106"/>
      <c r="E47" s="106"/>
      <c r="F47" s="107"/>
      <c r="G47" s="22">
        <f>(G41+G42-G43)*(1+'Fane 13. Nøgletal'!C15)</f>
        <v>10654172.719913218</v>
      </c>
      <c r="H47" s="14" t="s">
        <v>3</v>
      </c>
      <c r="I47" s="1"/>
    </row>
    <row r="48" spans="1:9" x14ac:dyDescent="0.25">
      <c r="A48" s="1"/>
      <c r="B48" s="105" t="s">
        <v>206</v>
      </c>
      <c r="C48" s="106"/>
      <c r="D48" s="106"/>
      <c r="E48" s="106"/>
      <c r="F48" s="107"/>
      <c r="G48" s="22">
        <f>('Fane 2.1. Økonomisk ramme 2024'!C9+'Fane 2.1. Økonomisk ramme 2024'!C11+'Fane 2.1. Økonomisk ramme 2024'!C13)*(1+'Fane 13. Nøgletal'!C16)</f>
        <v>822220.05086591991</v>
      </c>
      <c r="H48" s="14" t="s">
        <v>3</v>
      </c>
      <c r="I48" s="1"/>
    </row>
    <row r="49" spans="1:9" x14ac:dyDescent="0.25">
      <c r="A49" s="1"/>
      <c r="B49" s="105" t="s">
        <v>167</v>
      </c>
      <c r="C49" s="106"/>
      <c r="D49" s="106"/>
      <c r="E49" s="106"/>
      <c r="F49" s="107"/>
      <c r="G49" s="22">
        <f>G47*'Fane 13. Nøgletal'!C33+G48*'Fane 13. Nøgletal'!C33</f>
        <v>229527.85541558277</v>
      </c>
      <c r="H49" s="14" t="s">
        <v>3</v>
      </c>
      <c r="I49" s="1"/>
    </row>
    <row r="50" spans="1:9" x14ac:dyDescent="0.25">
      <c r="A50" s="1"/>
      <c r="B50" s="51"/>
      <c r="C50" s="52"/>
      <c r="D50" s="52"/>
      <c r="E50" s="52"/>
      <c r="F50" s="52"/>
      <c r="G50" s="35"/>
      <c r="H50" s="19"/>
      <c r="I50" s="1"/>
    </row>
    <row r="51" spans="1:9" x14ac:dyDescent="0.25">
      <c r="A51" s="1"/>
      <c r="B51" s="1"/>
      <c r="C51" s="1"/>
      <c r="D51" s="1"/>
      <c r="E51" s="1"/>
      <c r="F51" s="1"/>
      <c r="G51" s="36"/>
      <c r="H51" s="1"/>
      <c r="I51" s="1"/>
    </row>
    <row r="52" spans="1:9" x14ac:dyDescent="0.25">
      <c r="A52" s="1"/>
      <c r="B52" s="102" t="s">
        <v>133</v>
      </c>
      <c r="C52" s="103"/>
      <c r="D52" s="103"/>
      <c r="E52" s="103"/>
      <c r="F52" s="103"/>
      <c r="G52" s="103"/>
      <c r="H52" s="104"/>
      <c r="I52" s="1"/>
    </row>
    <row r="53" spans="1:9" x14ac:dyDescent="0.25">
      <c r="A53" s="1"/>
      <c r="B53" s="105" t="s">
        <v>134</v>
      </c>
      <c r="C53" s="106"/>
      <c r="D53" s="106"/>
      <c r="E53" s="106"/>
      <c r="F53" s="107"/>
      <c r="G53" s="22">
        <f>(G47+G48-G49)*(1+'Fane 13. Nøgletal'!C16)</f>
        <v>12155611.60052493</v>
      </c>
      <c r="H53" s="14" t="s">
        <v>3</v>
      </c>
      <c r="I53" s="1"/>
    </row>
    <row r="54" spans="1:9" x14ac:dyDescent="0.25">
      <c r="A54" s="1"/>
      <c r="B54" s="105" t="s">
        <v>135</v>
      </c>
      <c r="C54" s="106"/>
      <c r="D54" s="106"/>
      <c r="E54" s="106"/>
      <c r="F54" s="107"/>
      <c r="G54" s="22">
        <f>(G53)*'Fane 13. Nøgletal'!C33</f>
        <v>243112.23201049861</v>
      </c>
      <c r="H54" s="14" t="s">
        <v>3</v>
      </c>
      <c r="I54" s="1"/>
    </row>
    <row r="55" spans="1:9" x14ac:dyDescent="0.25">
      <c r="A55" s="1"/>
      <c r="B55" s="51"/>
      <c r="C55" s="52"/>
      <c r="D55" s="52"/>
      <c r="E55" s="52"/>
      <c r="F55" s="52"/>
      <c r="G55" s="35"/>
      <c r="H55" s="19"/>
      <c r="I55" s="1"/>
    </row>
    <row r="56" spans="1:9" x14ac:dyDescent="0.25">
      <c r="A56" s="1"/>
      <c r="B56" s="1"/>
      <c r="C56" s="1"/>
      <c r="D56" s="1"/>
      <c r="E56" s="1"/>
      <c r="F56" s="1"/>
      <c r="G56" s="36"/>
      <c r="H56" s="1"/>
      <c r="I56" s="1"/>
    </row>
    <row r="57" spans="1:9" x14ac:dyDescent="0.25">
      <c r="A57" s="1"/>
      <c r="B57" s="102" t="s">
        <v>144</v>
      </c>
      <c r="C57" s="103"/>
      <c r="D57" s="103"/>
      <c r="E57" s="103"/>
      <c r="F57" s="103"/>
      <c r="G57" s="103"/>
      <c r="H57" s="104"/>
      <c r="I57" s="1"/>
    </row>
    <row r="58" spans="1:9" x14ac:dyDescent="0.25">
      <c r="A58" s="1"/>
      <c r="B58" s="105" t="s">
        <v>145</v>
      </c>
      <c r="C58" s="106"/>
      <c r="D58" s="106"/>
      <c r="E58" s="106"/>
      <c r="F58" s="107"/>
      <c r="G58" s="22">
        <f>(G53-G54)*(1+'Fane 13. Nøgletal'!C16)</f>
        <v>12875029.317490397</v>
      </c>
      <c r="H58" s="14" t="s">
        <v>3</v>
      </c>
      <c r="I58" s="1"/>
    </row>
    <row r="59" spans="1:9" x14ac:dyDescent="0.25">
      <c r="A59" s="1"/>
      <c r="B59" s="105" t="s">
        <v>146</v>
      </c>
      <c r="C59" s="106"/>
      <c r="D59" s="106"/>
      <c r="E59" s="106"/>
      <c r="F59" s="107"/>
      <c r="G59" s="22">
        <f>(G58)*'Fane 13. Nøgletal'!C33</f>
        <v>257500.58634980794</v>
      </c>
      <c r="H59" s="14" t="s">
        <v>3</v>
      </c>
      <c r="I59" s="1"/>
    </row>
    <row r="60" spans="1:9" x14ac:dyDescent="0.25">
      <c r="A60" s="1"/>
      <c r="B60" s="51"/>
      <c r="C60" s="52"/>
      <c r="D60" s="52"/>
      <c r="E60" s="52"/>
      <c r="F60" s="52"/>
      <c r="G60" s="35"/>
      <c r="H60" s="19"/>
      <c r="I60" s="1"/>
    </row>
    <row r="61" spans="1:9" x14ac:dyDescent="0.25">
      <c r="A61" s="1"/>
      <c r="B61" s="1"/>
      <c r="C61" s="1"/>
      <c r="D61" s="1"/>
      <c r="E61" s="1"/>
      <c r="F61" s="1"/>
      <c r="G61" s="36"/>
      <c r="H61" s="1"/>
      <c r="I61" s="1"/>
    </row>
    <row r="62" spans="1:9" x14ac:dyDescent="0.25">
      <c r="A62" s="1"/>
      <c r="B62" s="102" t="s">
        <v>220</v>
      </c>
      <c r="C62" s="103"/>
      <c r="D62" s="103"/>
      <c r="E62" s="103"/>
      <c r="F62" s="103"/>
      <c r="G62" s="103"/>
      <c r="H62" s="104"/>
      <c r="I62" s="1"/>
    </row>
    <row r="63" spans="1:9" x14ac:dyDescent="0.25">
      <c r="A63" s="1"/>
      <c r="B63" s="105" t="s">
        <v>221</v>
      </c>
      <c r="C63" s="106"/>
      <c r="D63" s="106"/>
      <c r="E63" s="106"/>
      <c r="F63" s="107"/>
      <c r="G63" s="22">
        <f>(G58-G59)*(1+'Fane 13. Nøgletal'!C16)</f>
        <v>13637025.052616749</v>
      </c>
      <c r="H63" s="14" t="s">
        <v>3</v>
      </c>
      <c r="I63" s="1"/>
    </row>
    <row r="64" spans="1:9" x14ac:dyDescent="0.25">
      <c r="A64" s="1"/>
      <c r="B64" s="105" t="s">
        <v>222</v>
      </c>
      <c r="C64" s="106"/>
      <c r="D64" s="106"/>
      <c r="E64" s="106"/>
      <c r="F64" s="107"/>
      <c r="G64" s="22">
        <f>(G63)*'Fane 13. Nøgletal'!C33</f>
        <v>272740.50105233496</v>
      </c>
      <c r="H64" s="14" t="s">
        <v>3</v>
      </c>
      <c r="I64" s="1"/>
    </row>
    <row r="65" spans="1:9" x14ac:dyDescent="0.25">
      <c r="A65" s="1"/>
      <c r="B65" s="51"/>
      <c r="C65" s="52"/>
      <c r="D65" s="52"/>
      <c r="E65" s="52"/>
      <c r="F65" s="52"/>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f6ra1jakYJ7wJJEdf3k4Fryc8Lfrsc6BLtqDqY1Cam98qRPp6GMWXTGXZtTXmiQYo4ltHIjJNJRpR4TA0FmsRA==" saltValue="pGTcboO9BNAoctNEP4nQmw==" spinCount="100000" sheet="1" objects="1" scenarios="1"/>
  <mergeCells count="42">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7:F37"/>
    <mergeCell ref="B46:H46"/>
    <mergeCell ref="B48:F48"/>
    <mergeCell ref="B36:F36"/>
    <mergeCell ref="B57:H57"/>
    <mergeCell ref="B47:F47"/>
    <mergeCell ref="B49:F49"/>
    <mergeCell ref="B40:H40"/>
    <mergeCell ref="B41:F41"/>
    <mergeCell ref="B43:F43"/>
    <mergeCell ref="B42:F42"/>
    <mergeCell ref="B62:H62"/>
    <mergeCell ref="B63:F63"/>
    <mergeCell ref="B64:F64"/>
    <mergeCell ref="B59:F59"/>
    <mergeCell ref="B52:H52"/>
    <mergeCell ref="B53:F53"/>
    <mergeCell ref="B54:F54"/>
    <mergeCell ref="B58:F5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1" t="s">
        <v>91</v>
      </c>
      <c r="C1" s="112"/>
      <c r="D1" s="112"/>
      <c r="E1" s="112"/>
      <c r="F1" s="112"/>
      <c r="G1" s="112"/>
      <c r="H1" s="112"/>
      <c r="I1" s="1"/>
    </row>
    <row r="2" spans="1:9" ht="19.899999999999999" customHeight="1" x14ac:dyDescent="0.25">
      <c r="A2" s="1"/>
      <c r="B2" s="112"/>
      <c r="C2" s="112"/>
      <c r="D2" s="112"/>
      <c r="E2" s="112"/>
      <c r="F2" s="112"/>
      <c r="G2" s="112"/>
      <c r="H2" s="112"/>
      <c r="I2" s="1"/>
    </row>
    <row r="3" spans="1:9" ht="15" customHeight="1" x14ac:dyDescent="0.25">
      <c r="A3" s="1"/>
      <c r="B3" s="113"/>
      <c r="C3" s="113"/>
      <c r="D3" s="113"/>
      <c r="E3" s="113"/>
      <c r="F3" s="113"/>
      <c r="G3" s="113"/>
      <c r="H3" s="113"/>
      <c r="I3" s="1"/>
    </row>
    <row r="4" spans="1:9" x14ac:dyDescent="0.25">
      <c r="A4" s="1"/>
      <c r="B4" s="102" t="s">
        <v>48</v>
      </c>
      <c r="C4" s="103"/>
      <c r="D4" s="103"/>
      <c r="E4" s="103"/>
      <c r="F4" s="103"/>
      <c r="G4" s="103"/>
      <c r="H4" s="104"/>
      <c r="I4" s="1"/>
    </row>
    <row r="5" spans="1:9" x14ac:dyDescent="0.25">
      <c r="A5" s="1"/>
      <c r="B5" s="105" t="s">
        <v>51</v>
      </c>
      <c r="C5" s="106"/>
      <c r="D5" s="106"/>
      <c r="E5" s="106"/>
      <c r="F5" s="107"/>
      <c r="G5" s="47">
        <v>11786992</v>
      </c>
      <c r="H5" s="14" t="s">
        <v>3</v>
      </c>
      <c r="I5" s="1"/>
    </row>
    <row r="6" spans="1:9" x14ac:dyDescent="0.25">
      <c r="A6" s="1"/>
      <c r="B6" s="105" t="s">
        <v>49</v>
      </c>
      <c r="C6" s="106"/>
      <c r="D6" s="106"/>
      <c r="E6" s="106"/>
      <c r="F6" s="107"/>
      <c r="G6" s="22">
        <f>G5*'Fane 13. Nøgletal'!C21</f>
        <v>107261.6272</v>
      </c>
      <c r="H6" s="14" t="s">
        <v>3</v>
      </c>
      <c r="I6" s="1"/>
    </row>
    <row r="7" spans="1:9" x14ac:dyDescent="0.25">
      <c r="A7" s="1"/>
      <c r="B7" s="51"/>
      <c r="C7" s="52"/>
      <c r="D7" s="52"/>
      <c r="E7" s="52"/>
      <c r="F7" s="52"/>
      <c r="G7" s="52"/>
      <c r="H7" s="19"/>
      <c r="I7" s="1"/>
    </row>
    <row r="8" spans="1:9" x14ac:dyDescent="0.25">
      <c r="A8" s="1"/>
      <c r="B8" s="1"/>
      <c r="C8" s="1"/>
      <c r="D8" s="1"/>
      <c r="E8" s="1"/>
      <c r="F8" s="1"/>
      <c r="G8" s="1"/>
      <c r="H8" s="1"/>
      <c r="I8" s="1"/>
    </row>
    <row r="9" spans="1:9" x14ac:dyDescent="0.25">
      <c r="A9" s="1"/>
      <c r="B9" s="102" t="s">
        <v>52</v>
      </c>
      <c r="C9" s="103"/>
      <c r="D9" s="103"/>
      <c r="E9" s="103"/>
      <c r="F9" s="103"/>
      <c r="G9" s="103"/>
      <c r="H9" s="104"/>
      <c r="I9" s="1"/>
    </row>
    <row r="10" spans="1:9" x14ac:dyDescent="0.25">
      <c r="A10" s="1"/>
      <c r="B10" s="105" t="s">
        <v>53</v>
      </c>
      <c r="C10" s="106"/>
      <c r="D10" s="106"/>
      <c r="E10" s="106"/>
      <c r="F10" s="107"/>
      <c r="G10" s="22">
        <f>(G5-G6)*(1+'Fane 13. Nøgletal'!C9)</f>
        <v>11828062.948534559</v>
      </c>
      <c r="H10" s="14" t="s">
        <v>3</v>
      </c>
      <c r="I10" s="1"/>
    </row>
    <row r="11" spans="1:9" x14ac:dyDescent="0.25">
      <c r="A11" s="1"/>
      <c r="B11" s="108" t="s">
        <v>54</v>
      </c>
      <c r="C11" s="109"/>
      <c r="D11" s="109"/>
      <c r="E11" s="109"/>
      <c r="F11" s="110"/>
      <c r="G11" s="48">
        <v>0</v>
      </c>
      <c r="H11" s="14" t="s">
        <v>3</v>
      </c>
      <c r="I11" s="1"/>
    </row>
    <row r="12" spans="1:9" x14ac:dyDescent="0.25">
      <c r="A12" s="1"/>
      <c r="B12" s="105" t="s">
        <v>55</v>
      </c>
      <c r="C12" s="106"/>
      <c r="D12" s="106"/>
      <c r="E12" s="106"/>
      <c r="F12" s="107"/>
      <c r="G12" s="22">
        <f>G10*'Fane 13. Nøgletal'!C21+G11*'Fane 13. Nøgletal'!C22</f>
        <v>107635.3728316645</v>
      </c>
      <c r="H12" s="14" t="s">
        <v>3</v>
      </c>
      <c r="I12" s="1"/>
    </row>
    <row r="13" spans="1:9" x14ac:dyDescent="0.25">
      <c r="A13" s="1"/>
      <c r="B13" s="51"/>
      <c r="C13" s="52"/>
      <c r="D13" s="52"/>
      <c r="E13" s="52"/>
      <c r="F13" s="52"/>
      <c r="G13" s="52"/>
      <c r="H13" s="19"/>
      <c r="I13" s="1"/>
    </row>
    <row r="14" spans="1:9" x14ac:dyDescent="0.25">
      <c r="A14" s="1"/>
      <c r="B14" s="1"/>
      <c r="C14" s="1"/>
      <c r="D14" s="1"/>
      <c r="E14" s="1"/>
      <c r="F14" s="1"/>
      <c r="G14" s="1"/>
      <c r="H14" s="1"/>
      <c r="I14" s="1"/>
    </row>
    <row r="15" spans="1:9" x14ac:dyDescent="0.25">
      <c r="A15" s="1"/>
      <c r="B15" s="102" t="s">
        <v>56</v>
      </c>
      <c r="C15" s="103"/>
      <c r="D15" s="103"/>
      <c r="E15" s="103"/>
      <c r="F15" s="103"/>
      <c r="G15" s="103"/>
      <c r="H15" s="104"/>
      <c r="I15" s="1"/>
    </row>
    <row r="16" spans="1:9" x14ac:dyDescent="0.25">
      <c r="A16" s="1"/>
      <c r="B16" s="105" t="s">
        <v>57</v>
      </c>
      <c r="C16" s="106"/>
      <c r="D16" s="106"/>
      <c r="E16" s="106"/>
      <c r="F16" s="107"/>
      <c r="G16" s="22">
        <f>(G10+G11-G12)*(1+'Fane 13. Nøgletal'!C11)</f>
        <v>11918502.801732272</v>
      </c>
      <c r="H16" s="14" t="s">
        <v>3</v>
      </c>
      <c r="I16" s="1"/>
    </row>
    <row r="17" spans="1:9" x14ac:dyDescent="0.25">
      <c r="A17" s="1"/>
      <c r="B17" s="105" t="s">
        <v>101</v>
      </c>
      <c r="C17" s="106"/>
      <c r="D17" s="106"/>
      <c r="E17" s="106"/>
      <c r="F17" s="107"/>
      <c r="G17" s="47">
        <v>-204071.58693733384</v>
      </c>
      <c r="H17" s="14" t="s">
        <v>3</v>
      </c>
      <c r="I17" s="1"/>
    </row>
    <row r="18" spans="1:9" x14ac:dyDescent="0.25">
      <c r="A18" s="1"/>
      <c r="B18" s="108" t="s">
        <v>58</v>
      </c>
      <c r="C18" s="109"/>
      <c r="D18" s="109"/>
      <c r="E18" s="109"/>
      <c r="F18" s="110"/>
      <c r="G18" s="47">
        <v>61256.129279569985</v>
      </c>
      <c r="H18" s="14" t="s">
        <v>3</v>
      </c>
      <c r="I18" s="1"/>
    </row>
    <row r="19" spans="1:9" x14ac:dyDescent="0.25">
      <c r="A19" s="1"/>
      <c r="B19" s="105" t="s">
        <v>59</v>
      </c>
      <c r="C19" s="106"/>
      <c r="D19" s="106"/>
      <c r="E19" s="106"/>
      <c r="F19" s="107"/>
      <c r="G19" s="22">
        <f>(G16+G17+G18)*'Fane 13. Nøgletal'!C23</f>
        <v>102448.47989344821</v>
      </c>
      <c r="H19" s="14" t="s">
        <v>3</v>
      </c>
      <c r="I19" s="1"/>
    </row>
    <row r="20" spans="1:9" x14ac:dyDescent="0.25">
      <c r="A20" s="1"/>
      <c r="B20" s="51"/>
      <c r="C20" s="52"/>
      <c r="D20" s="52"/>
      <c r="E20" s="52"/>
      <c r="F20" s="52"/>
      <c r="G20" s="52"/>
      <c r="H20" s="19"/>
      <c r="I20" s="1"/>
    </row>
    <row r="21" spans="1:9" x14ac:dyDescent="0.25">
      <c r="A21" s="1"/>
      <c r="B21" s="1"/>
      <c r="C21" s="1"/>
      <c r="D21" s="1"/>
      <c r="E21" s="1"/>
      <c r="F21" s="1"/>
      <c r="G21" s="1"/>
      <c r="H21" s="1"/>
      <c r="I21" s="1"/>
    </row>
    <row r="22" spans="1:9" x14ac:dyDescent="0.25">
      <c r="A22" s="1"/>
      <c r="B22" s="102" t="s">
        <v>60</v>
      </c>
      <c r="C22" s="103"/>
      <c r="D22" s="103"/>
      <c r="E22" s="103"/>
      <c r="F22" s="103"/>
      <c r="G22" s="103"/>
      <c r="H22" s="104"/>
      <c r="I22" s="1"/>
    </row>
    <row r="23" spans="1:9" x14ac:dyDescent="0.25">
      <c r="A23" s="1"/>
      <c r="B23" s="105" t="s">
        <v>61</v>
      </c>
      <c r="C23" s="106"/>
      <c r="D23" s="106"/>
      <c r="E23" s="106"/>
      <c r="F23" s="107"/>
      <c r="G23" s="22">
        <f>(SUM(G16:G18)-G19)*(1+'Fane 13. Nøgletal'!C11)</f>
        <v>11870516.600985719</v>
      </c>
      <c r="H23" s="14" t="s">
        <v>3</v>
      </c>
      <c r="I23" s="1"/>
    </row>
    <row r="24" spans="1:9" x14ac:dyDescent="0.25">
      <c r="A24" s="1"/>
      <c r="B24" s="108" t="s">
        <v>62</v>
      </c>
      <c r="C24" s="109"/>
      <c r="D24" s="109"/>
      <c r="E24" s="109"/>
      <c r="F24" s="110"/>
      <c r="G24" s="47">
        <v>125474.34818457002</v>
      </c>
      <c r="H24" s="14" t="s">
        <v>3</v>
      </c>
      <c r="I24" s="1"/>
    </row>
    <row r="25" spans="1:9" x14ac:dyDescent="0.25">
      <c r="A25" s="1"/>
      <c r="B25" s="105" t="s">
        <v>63</v>
      </c>
      <c r="C25" s="106"/>
      <c r="D25" s="106"/>
      <c r="E25" s="106"/>
      <c r="F25" s="107"/>
      <c r="G25" s="22">
        <f>G23*'Fane 13. Nøgletal'!C23+G24*'Fane 13. Nøgletal'!C24</f>
        <v>106836.96591701754</v>
      </c>
      <c r="H25" s="14" t="s">
        <v>3</v>
      </c>
      <c r="I25" s="1"/>
    </row>
    <row r="26" spans="1:9" x14ac:dyDescent="0.25">
      <c r="A26" s="1"/>
      <c r="B26" s="51"/>
      <c r="C26" s="52"/>
      <c r="D26" s="52"/>
      <c r="E26" s="52"/>
      <c r="F26" s="52"/>
      <c r="G26" s="52"/>
      <c r="H26" s="19"/>
      <c r="I26" s="1"/>
    </row>
    <row r="27" spans="1:9" x14ac:dyDescent="0.25">
      <c r="A27" s="1"/>
      <c r="B27" s="1"/>
      <c r="C27" s="1"/>
      <c r="D27" s="1"/>
      <c r="E27" s="1"/>
      <c r="F27" s="1"/>
      <c r="G27" s="1"/>
      <c r="H27" s="1"/>
      <c r="I27" s="1"/>
    </row>
    <row r="28" spans="1:9" x14ac:dyDescent="0.25">
      <c r="A28" s="1"/>
      <c r="B28" s="102" t="s">
        <v>119</v>
      </c>
      <c r="C28" s="103"/>
      <c r="D28" s="103"/>
      <c r="E28" s="103"/>
      <c r="F28" s="103"/>
      <c r="G28" s="103"/>
      <c r="H28" s="104"/>
      <c r="I28" s="1"/>
    </row>
    <row r="29" spans="1:9" x14ac:dyDescent="0.25">
      <c r="A29" s="1"/>
      <c r="B29" s="105" t="s">
        <v>64</v>
      </c>
      <c r="C29" s="106"/>
      <c r="D29" s="106"/>
      <c r="E29" s="106"/>
      <c r="F29" s="107"/>
      <c r="G29" s="22">
        <f>(G23+G24-G25)*(1+'Fane 13. Nøgletal'!C13)</f>
        <v>12034201.661848962</v>
      </c>
      <c r="H29" s="14" t="s">
        <v>3</v>
      </c>
      <c r="I29" s="1"/>
    </row>
    <row r="30" spans="1:9" x14ac:dyDescent="0.25">
      <c r="A30" s="1"/>
      <c r="B30" s="105" t="s">
        <v>113</v>
      </c>
      <c r="C30" s="106"/>
      <c r="D30" s="106"/>
      <c r="E30" s="106"/>
      <c r="F30" s="107"/>
      <c r="G30" s="47">
        <v>3938444.6312206797</v>
      </c>
      <c r="H30" s="14" t="s">
        <v>3</v>
      </c>
      <c r="I30" s="1"/>
    </row>
    <row r="31" spans="1:9" x14ac:dyDescent="0.25">
      <c r="A31" s="1"/>
      <c r="B31" s="105" t="s">
        <v>120</v>
      </c>
      <c r="C31" s="106"/>
      <c r="D31" s="106"/>
      <c r="E31" s="106"/>
      <c r="F31" s="107"/>
      <c r="G31" s="22">
        <f>(G29+G30)*'Fane 13. Nøgletal'!C25</f>
        <v>439247.77305941517</v>
      </c>
      <c r="H31" s="14" t="s">
        <v>3</v>
      </c>
      <c r="I31" s="1"/>
    </row>
    <row r="32" spans="1:9" x14ac:dyDescent="0.25">
      <c r="A32" s="1"/>
      <c r="B32" s="51"/>
      <c r="C32" s="52"/>
      <c r="D32" s="52"/>
      <c r="E32" s="52"/>
      <c r="F32" s="52"/>
      <c r="G32" s="52"/>
      <c r="H32" s="19"/>
      <c r="I32" s="1"/>
    </row>
    <row r="33" spans="1:9" x14ac:dyDescent="0.25">
      <c r="A33" s="1"/>
      <c r="B33" s="1"/>
      <c r="C33" s="1"/>
      <c r="D33" s="1"/>
      <c r="E33" s="1"/>
      <c r="F33" s="1"/>
      <c r="G33" s="1"/>
      <c r="H33" s="1"/>
      <c r="I33" s="1"/>
    </row>
    <row r="34" spans="1:9" x14ac:dyDescent="0.25">
      <c r="A34" s="1"/>
      <c r="B34" s="102" t="s">
        <v>124</v>
      </c>
      <c r="C34" s="103"/>
      <c r="D34" s="103"/>
      <c r="E34" s="103"/>
      <c r="F34" s="103"/>
      <c r="G34" s="103"/>
      <c r="H34" s="104"/>
      <c r="I34" s="1"/>
    </row>
    <row r="35" spans="1:9" x14ac:dyDescent="0.25">
      <c r="A35" s="1"/>
      <c r="B35" s="105" t="s">
        <v>67</v>
      </c>
      <c r="C35" s="106"/>
      <c r="D35" s="106"/>
      <c r="E35" s="106"/>
      <c r="F35" s="107"/>
      <c r="G35" s="22">
        <f>(G29+G30-G31)*(1+'Fane 13. Nøgletal'!C13)</f>
        <v>15722905.981954351</v>
      </c>
      <c r="H35" s="14" t="s">
        <v>3</v>
      </c>
      <c r="I35" s="1"/>
    </row>
    <row r="36" spans="1:9" x14ac:dyDescent="0.25">
      <c r="A36" s="1"/>
      <c r="B36" s="105" t="s">
        <v>129</v>
      </c>
      <c r="C36" s="106"/>
      <c r="D36" s="106"/>
      <c r="E36" s="106"/>
      <c r="F36" s="107"/>
      <c r="G36" s="22">
        <v>74105.687110910003</v>
      </c>
      <c r="H36" s="14" t="s">
        <v>3</v>
      </c>
      <c r="I36" s="1"/>
    </row>
    <row r="37" spans="1:9" x14ac:dyDescent="0.25">
      <c r="A37" s="1"/>
      <c r="B37" s="105" t="s">
        <v>125</v>
      </c>
      <c r="C37" s="106"/>
      <c r="D37" s="106"/>
      <c r="E37" s="106"/>
      <c r="F37" s="107"/>
      <c r="G37" s="22">
        <f>G35*'Fane 13. Nøgletal'!C25+G36*'Fane 13. Nøgletal'!C26</f>
        <v>433476.67867298611</v>
      </c>
      <c r="H37" s="14" t="s">
        <v>3</v>
      </c>
      <c r="I37" s="1"/>
    </row>
    <row r="38" spans="1:9" x14ac:dyDescent="0.25">
      <c r="A38" s="1"/>
      <c r="B38" s="51"/>
      <c r="C38" s="52"/>
      <c r="D38" s="52"/>
      <c r="E38" s="52"/>
      <c r="F38" s="52"/>
      <c r="G38" s="52"/>
      <c r="H38" s="19"/>
      <c r="I38" s="1"/>
    </row>
    <row r="39" spans="1:9" x14ac:dyDescent="0.25">
      <c r="A39" s="1"/>
      <c r="B39" s="1"/>
      <c r="C39" s="1"/>
      <c r="D39" s="1"/>
      <c r="E39" s="1"/>
      <c r="F39" s="1"/>
      <c r="G39" s="1"/>
      <c r="H39" s="1"/>
      <c r="I39" s="1"/>
    </row>
    <row r="40" spans="1:9" x14ac:dyDescent="0.25">
      <c r="A40" s="1"/>
      <c r="B40" s="102" t="s">
        <v>159</v>
      </c>
      <c r="C40" s="103"/>
      <c r="D40" s="103"/>
      <c r="E40" s="103"/>
      <c r="F40" s="103"/>
      <c r="G40" s="103"/>
      <c r="H40" s="104"/>
      <c r="I40" s="1"/>
    </row>
    <row r="41" spans="1:9" x14ac:dyDescent="0.25">
      <c r="A41" s="1"/>
      <c r="B41" s="105" t="s">
        <v>66</v>
      </c>
      <c r="C41" s="106"/>
      <c r="D41" s="106"/>
      <c r="E41" s="106"/>
      <c r="F41" s="107"/>
      <c r="G41" s="22">
        <f>(G35+G36-G37)*(1+'Fane 13. Nøgletal'!C15)</f>
        <v>15910476.836050242</v>
      </c>
      <c r="H41" s="14" t="s">
        <v>3</v>
      </c>
      <c r="I41" s="1"/>
    </row>
    <row r="42" spans="1:9" x14ac:dyDescent="0.25">
      <c r="A42" s="1"/>
      <c r="B42" s="105" t="s">
        <v>169</v>
      </c>
      <c r="C42" s="106"/>
      <c r="D42" s="106"/>
      <c r="E42" s="106"/>
      <c r="F42" s="107"/>
      <c r="G42" s="9">
        <v>1154424.2431838401</v>
      </c>
      <c r="H42" s="14" t="s">
        <v>3</v>
      </c>
      <c r="I42" s="1"/>
    </row>
    <row r="43" spans="1:9" x14ac:dyDescent="0.25">
      <c r="A43" s="1"/>
      <c r="B43" s="105" t="s">
        <v>65</v>
      </c>
      <c r="C43" s="106"/>
      <c r="D43" s="106"/>
      <c r="E43" s="106"/>
      <c r="F43" s="107"/>
      <c r="G43" s="55">
        <f>(G41+G42)*'Fane 13. Nøgletal'!C27</f>
        <v>0</v>
      </c>
      <c r="H43" s="14" t="s">
        <v>3</v>
      </c>
      <c r="I43" s="1"/>
    </row>
    <row r="44" spans="1:9" x14ac:dyDescent="0.25">
      <c r="A44" s="1"/>
      <c r="B44" s="51"/>
      <c r="C44" s="52"/>
      <c r="D44" s="52"/>
      <c r="E44" s="52"/>
      <c r="F44" s="52"/>
      <c r="G44" s="52"/>
      <c r="H44" s="19"/>
      <c r="I44" s="1"/>
    </row>
    <row r="45" spans="1:9" ht="12" customHeight="1" x14ac:dyDescent="0.25">
      <c r="A45" s="1"/>
      <c r="B45" s="1"/>
      <c r="C45" s="1"/>
      <c r="D45" s="1"/>
      <c r="E45" s="1"/>
      <c r="F45" s="1"/>
      <c r="G45" s="1"/>
      <c r="H45" s="1"/>
      <c r="I45" s="1"/>
    </row>
    <row r="46" spans="1:9" x14ac:dyDescent="0.25">
      <c r="A46" s="1"/>
      <c r="B46" s="102" t="s">
        <v>160</v>
      </c>
      <c r="C46" s="103"/>
      <c r="D46" s="103"/>
      <c r="E46" s="103"/>
      <c r="F46" s="103"/>
      <c r="G46" s="103"/>
      <c r="H46" s="104"/>
      <c r="I46" s="1"/>
    </row>
    <row r="47" spans="1:9" x14ac:dyDescent="0.25">
      <c r="A47" s="1"/>
      <c r="B47" s="105" t="s">
        <v>114</v>
      </c>
      <c r="C47" s="106"/>
      <c r="D47" s="106"/>
      <c r="E47" s="106"/>
      <c r="F47" s="107"/>
      <c r="G47" s="22">
        <f>(G41+G42-G43)*(1+'Fane 13. Nøgletal'!C15)</f>
        <v>17672411.557654817</v>
      </c>
      <c r="H47" s="14" t="s">
        <v>3</v>
      </c>
      <c r="I47" s="1"/>
    </row>
    <row r="48" spans="1:9" x14ac:dyDescent="0.25">
      <c r="A48" s="1"/>
      <c r="B48" s="105" t="s">
        <v>210</v>
      </c>
      <c r="C48" s="106"/>
      <c r="D48" s="106"/>
      <c r="E48" s="106"/>
      <c r="F48" s="107"/>
      <c r="G48" s="22">
        <f>('Fane 2.1. Økonomisk ramme 2024'!C10+'Fane 2.1. Økonomisk ramme 2024'!C12+'Fane 2.1. Økonomisk ramme 2024'!C14)*(1+'Fane 13. Nøgletal'!C16)</f>
        <v>664915.17568896001</v>
      </c>
      <c r="H48" s="14" t="s">
        <v>3</v>
      </c>
      <c r="I48" s="1"/>
    </row>
    <row r="49" spans="1:9" x14ac:dyDescent="0.25">
      <c r="A49" s="1"/>
      <c r="B49" s="105" t="s">
        <v>211</v>
      </c>
      <c r="C49" s="106"/>
      <c r="D49" s="106"/>
      <c r="E49" s="106"/>
      <c r="F49" s="107"/>
      <c r="G49" s="55">
        <f>(G47)*'Fane 13. Nøgletal'!C27+G48*'Fane 13. Nøgletal'!C28</f>
        <v>0</v>
      </c>
      <c r="H49" s="14" t="s">
        <v>3</v>
      </c>
      <c r="I49" s="1"/>
    </row>
    <row r="50" spans="1:9" x14ac:dyDescent="0.25">
      <c r="A50" s="1"/>
      <c r="B50" s="51"/>
      <c r="C50" s="52"/>
      <c r="D50" s="52"/>
      <c r="E50" s="52"/>
      <c r="F50" s="52"/>
      <c r="G50" s="52"/>
      <c r="H50" s="19"/>
      <c r="I50" s="1"/>
    </row>
    <row r="51" spans="1:9" x14ac:dyDescent="0.25">
      <c r="A51" s="1"/>
      <c r="B51" s="1"/>
      <c r="C51" s="1"/>
      <c r="D51" s="1"/>
      <c r="E51" s="1"/>
      <c r="F51" s="1"/>
      <c r="G51" s="1"/>
      <c r="H51" s="1"/>
      <c r="I51" s="1"/>
    </row>
    <row r="52" spans="1:9" x14ac:dyDescent="0.25">
      <c r="A52" s="1"/>
      <c r="B52" s="102" t="s">
        <v>130</v>
      </c>
      <c r="C52" s="103"/>
      <c r="D52" s="103"/>
      <c r="E52" s="103"/>
      <c r="F52" s="103"/>
      <c r="G52" s="103"/>
      <c r="H52" s="104"/>
      <c r="I52" s="1"/>
    </row>
    <row r="53" spans="1:9" x14ac:dyDescent="0.25">
      <c r="A53" s="1"/>
      <c r="B53" s="105" t="s">
        <v>131</v>
      </c>
      <c r="C53" s="106"/>
      <c r="D53" s="106"/>
      <c r="E53" s="106"/>
      <c r="F53" s="107"/>
      <c r="G53" s="22">
        <f>(G47+G48-G49)*(1+'Fane 13. Nøgletal'!C16)</f>
        <v>19818982.733397953</v>
      </c>
      <c r="H53" s="14" t="s">
        <v>3</v>
      </c>
      <c r="I53" s="1"/>
    </row>
    <row r="54" spans="1:9" x14ac:dyDescent="0.25">
      <c r="A54" s="1"/>
      <c r="B54" s="105" t="s">
        <v>132</v>
      </c>
      <c r="C54" s="106"/>
      <c r="D54" s="106"/>
      <c r="E54" s="106"/>
      <c r="F54" s="107"/>
      <c r="G54" s="55">
        <f>(G53)*'Fane 13. Nøgletal'!C28</f>
        <v>0</v>
      </c>
      <c r="H54" s="14" t="s">
        <v>3</v>
      </c>
      <c r="I54" s="1"/>
    </row>
    <row r="55" spans="1:9" x14ac:dyDescent="0.25">
      <c r="A55" s="1"/>
      <c r="B55" s="51"/>
      <c r="C55" s="52"/>
      <c r="D55" s="52"/>
      <c r="E55" s="52"/>
      <c r="F55" s="52"/>
      <c r="G55" s="52"/>
      <c r="H55" s="19"/>
      <c r="I55" s="1"/>
    </row>
    <row r="56" spans="1:9" x14ac:dyDescent="0.25">
      <c r="A56" s="1"/>
      <c r="B56" s="1"/>
      <c r="C56" s="1"/>
      <c r="D56" s="1"/>
      <c r="E56" s="1"/>
      <c r="F56" s="1"/>
      <c r="G56" s="1"/>
      <c r="H56" s="1"/>
      <c r="I56" s="1"/>
    </row>
    <row r="57" spans="1:9" x14ac:dyDescent="0.25">
      <c r="A57" s="1"/>
      <c r="B57" s="102" t="s">
        <v>147</v>
      </c>
      <c r="C57" s="103"/>
      <c r="D57" s="103"/>
      <c r="E57" s="103"/>
      <c r="F57" s="103"/>
      <c r="G57" s="103"/>
      <c r="H57" s="104"/>
      <c r="I57" s="1"/>
    </row>
    <row r="58" spans="1:9" x14ac:dyDescent="0.25">
      <c r="A58" s="1"/>
      <c r="B58" s="105" t="s">
        <v>148</v>
      </c>
      <c r="C58" s="106"/>
      <c r="D58" s="106"/>
      <c r="E58" s="106"/>
      <c r="F58" s="107"/>
      <c r="G58" s="22">
        <f>(G53-G54)*(1+'Fane 13. Nøgletal'!C16)</f>
        <v>21420356.538256507</v>
      </c>
      <c r="H58" s="14" t="s">
        <v>3</v>
      </c>
      <c r="I58" s="1"/>
    </row>
    <row r="59" spans="1:9" x14ac:dyDescent="0.25">
      <c r="A59" s="1"/>
      <c r="B59" s="105" t="s">
        <v>149</v>
      </c>
      <c r="C59" s="106"/>
      <c r="D59" s="106"/>
      <c r="E59" s="106"/>
      <c r="F59" s="107"/>
      <c r="G59" s="55">
        <f>(G58)*'Fane 13. Nøgletal'!C28</f>
        <v>0</v>
      </c>
      <c r="H59" s="14" t="s">
        <v>3</v>
      </c>
      <c r="I59" s="1"/>
    </row>
    <row r="60" spans="1:9" x14ac:dyDescent="0.25">
      <c r="A60" s="1"/>
      <c r="B60" s="51"/>
      <c r="C60" s="52"/>
      <c r="D60" s="52"/>
      <c r="E60" s="52"/>
      <c r="F60" s="52"/>
      <c r="G60" s="52"/>
      <c r="H60" s="19"/>
      <c r="I60" s="1"/>
    </row>
    <row r="61" spans="1:9" x14ac:dyDescent="0.25">
      <c r="A61" s="1"/>
      <c r="B61" s="1"/>
      <c r="C61" s="1"/>
      <c r="D61" s="1"/>
      <c r="E61" s="1"/>
      <c r="F61" s="1"/>
      <c r="G61" s="1"/>
      <c r="H61" s="1"/>
      <c r="I61" s="1"/>
    </row>
    <row r="62" spans="1:9" x14ac:dyDescent="0.25">
      <c r="A62" s="1"/>
      <c r="B62" s="102" t="s">
        <v>223</v>
      </c>
      <c r="C62" s="103"/>
      <c r="D62" s="103"/>
      <c r="E62" s="103"/>
      <c r="F62" s="103"/>
      <c r="G62" s="103"/>
      <c r="H62" s="104"/>
      <c r="I62" s="1"/>
    </row>
    <row r="63" spans="1:9" x14ac:dyDescent="0.25">
      <c r="A63" s="1"/>
      <c r="B63" s="105" t="s">
        <v>224</v>
      </c>
      <c r="C63" s="106"/>
      <c r="D63" s="106"/>
      <c r="E63" s="106"/>
      <c r="F63" s="107"/>
      <c r="G63" s="22">
        <f>(G58-G59)*(1+'Fane 13. Nøgletal'!C16)</f>
        <v>23151121.346547633</v>
      </c>
      <c r="H63" s="14" t="s">
        <v>3</v>
      </c>
      <c r="I63" s="1"/>
    </row>
    <row r="64" spans="1:9" x14ac:dyDescent="0.25">
      <c r="A64" s="1"/>
      <c r="B64" s="105" t="s">
        <v>225</v>
      </c>
      <c r="C64" s="106"/>
      <c r="D64" s="106"/>
      <c r="E64" s="106"/>
      <c r="F64" s="107"/>
      <c r="G64" s="55">
        <f>(G63)*'Fane 13. Nøgletal'!C28</f>
        <v>0</v>
      </c>
      <c r="H64" s="14" t="s">
        <v>3</v>
      </c>
      <c r="I64" s="1"/>
    </row>
    <row r="65" spans="1:9" x14ac:dyDescent="0.25">
      <c r="A65" s="1"/>
      <c r="B65" s="51"/>
      <c r="C65" s="52"/>
      <c r="D65" s="52"/>
      <c r="E65" s="52"/>
      <c r="F65" s="52"/>
      <c r="G65" s="52"/>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qsXe3ORXKMTYkx7P8rd4stRfCqgZFXYt/Ef8sGOdsH7lZsb1/MzqfJYoh+9xcm3MA8rbcI0rpBfOiZ4X1+8v8w==" saltValue="6BC2U4rixHgsQAfzHTSj+g==" spinCount="100000" sheet="1" objects="1" scenarios="1"/>
  <mergeCells count="42">
    <mergeCell ref="B47:F47"/>
    <mergeCell ref="B49:F49"/>
    <mergeCell ref="B36:F36"/>
    <mergeCell ref="B42:F42"/>
    <mergeCell ref="B41:F41"/>
    <mergeCell ref="B40:H40"/>
    <mergeCell ref="B37:F37"/>
    <mergeCell ref="B46:H46"/>
    <mergeCell ref="B48:F48"/>
    <mergeCell ref="B34:H34"/>
    <mergeCell ref="B12:F12"/>
    <mergeCell ref="B15:H15"/>
    <mergeCell ref="B16:F16"/>
    <mergeCell ref="B18:F18"/>
    <mergeCell ref="B30:F30"/>
    <mergeCell ref="B17:F17"/>
    <mergeCell ref="B22:H22"/>
    <mergeCell ref="B23:F23"/>
    <mergeCell ref="B24:F24"/>
    <mergeCell ref="B25:F25"/>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62:H62"/>
    <mergeCell ref="B63:F63"/>
    <mergeCell ref="B64:F64"/>
    <mergeCell ref="B57:H57"/>
    <mergeCell ref="B58:F58"/>
    <mergeCell ref="B59:F59"/>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8" t="s">
        <v>77</v>
      </c>
      <c r="C3" s="98"/>
      <c r="D3" s="98"/>
      <c r="E3" s="98"/>
      <c r="F3" s="98"/>
      <c r="G3" s="98"/>
      <c r="H3" s="1"/>
    </row>
    <row r="4" spans="1:8" ht="15" customHeight="1" x14ac:dyDescent="0.25">
      <c r="A4" s="1"/>
      <c r="B4" s="98"/>
      <c r="C4" s="98"/>
      <c r="D4" s="98"/>
      <c r="E4" s="98"/>
      <c r="F4" s="98"/>
      <c r="G4" s="9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2" t="s">
        <v>9</v>
      </c>
      <c r="C8" s="103"/>
      <c r="D8" s="103"/>
      <c r="E8" s="103"/>
      <c r="F8" s="103"/>
      <c r="G8" s="104"/>
      <c r="H8" s="1"/>
    </row>
    <row r="9" spans="1:8" x14ac:dyDescent="0.25">
      <c r="A9" s="1"/>
      <c r="B9" s="66" t="s">
        <v>150</v>
      </c>
      <c r="C9" s="67"/>
      <c r="D9" s="67"/>
      <c r="E9" s="67"/>
      <c r="F9" s="68"/>
      <c r="G9" s="64">
        <v>0.02</v>
      </c>
      <c r="H9" s="1"/>
    </row>
    <row r="10" spans="1:8" x14ac:dyDescent="0.25">
      <c r="A10" s="1"/>
      <c r="B10" s="51"/>
      <c r="C10" s="52"/>
      <c r="D10" s="52"/>
      <c r="E10" s="52"/>
      <c r="F10" s="52"/>
      <c r="G10" s="19"/>
      <c r="H10" s="1"/>
    </row>
    <row r="11" spans="1:8" ht="15" customHeight="1" x14ac:dyDescent="0.25">
      <c r="A11" s="1"/>
      <c r="B11" s="114" t="s">
        <v>236</v>
      </c>
      <c r="C11" s="115"/>
      <c r="D11" s="115"/>
      <c r="E11" s="115"/>
      <c r="F11" s="115"/>
      <c r="G11" s="116"/>
      <c r="H11" s="1"/>
    </row>
    <row r="12" spans="1:8" ht="13.5" customHeight="1" x14ac:dyDescent="0.25">
      <c r="A12" s="1"/>
      <c r="B12" s="117"/>
      <c r="C12" s="118"/>
      <c r="D12" s="118"/>
      <c r="E12" s="118"/>
      <c r="F12" s="118"/>
      <c r="G12" s="119"/>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Q/TBycuFjfjU7oVtJ+YhyAXzHBPsLJpJ4GOS3xggyWUpzE76ef3Uf0PKWawWF7Iz4fbMfQIX93AyXgbAOMHU6A==" saltValue="efQ1idA7bPxZxqjtX2jnUg=="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2023-11-20T12:10:22Z</dcterms:modified>
</cp:coreProperties>
</file>