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illerød Spildevand AS (S03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1" i="11" l="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6" i="40" l="1"/>
  <c r="E12" i="40"/>
  <c r="C15" i="19" l="1"/>
  <c r="E28" i="32" l="1"/>
  <c r="E38" i="32" l="1"/>
  <c r="E32" i="32"/>
  <c r="C30" i="2" s="1"/>
  <c r="E20" i="32"/>
  <c r="E12" i="32"/>
  <c r="E16" i="27" l="1"/>
  <c r="E17" i="27" s="1"/>
  <c r="E119" i="11" l="1"/>
  <c r="E120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21" i="11" l="1"/>
  <c r="C10" i="37" s="1"/>
  <c r="C14" i="37" s="1"/>
  <c r="G121" i="11"/>
  <c r="C15" i="37" l="1"/>
  <c r="C10" i="2" s="1"/>
  <c r="E11" i="21"/>
  <c r="E12" i="21" s="1"/>
  <c r="C11" i="21"/>
  <c r="C12" i="21" s="1"/>
  <c r="E11" i="29"/>
  <c r="E12" i="29" s="1"/>
  <c r="C11" i="29"/>
  <c r="C12" i="29" s="1"/>
  <c r="C16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21" i="11"/>
  <c r="E10" i="37" s="1"/>
  <c r="E14" i="37" s="1"/>
  <c r="E15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<sst xmlns="http://schemas.openxmlformats.org/spreadsheetml/2006/main" count="1026" uniqueCount="385">
  <si>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</si>
  <si>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</si>
  <si>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</si>
  <si>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</si>
  <si>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</si>
  <si>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</si>
  <si>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</si>
  <si>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</si>
  <si>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</si>
  <si>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</si>
  <si>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</si>
  <si>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</si>
  <si>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</si>
  <si>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</si>
  <si>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</si>
  <si>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</si>
  <si>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</si>
  <si>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</si>
  <si>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</si>
  <si>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</si>
  <si>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</si>
  <si>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</si>
  <si>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</si>
  <si>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</si>
  <si>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</si>
  <si>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</si>
  <si>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</si>
  <si>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</si>
  <si>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</si>
  <si>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</si>
  <si>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</si>
  <si>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</si>
  <si>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</si>
  <si>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</si>
  <si>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</si>
  <si>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</si>
  <si>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</si>
  <si>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</si>
  <si>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</si>
  <si>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</si>
  <si>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</si>
  <si>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</si>
  <si>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</si>
  <si>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</si>
  <si>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</si>
  <si>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</si>
  <si>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</si>
  <si>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</si>
  <si>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</si>
  <si>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</si>
  <si>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</si>
  <si>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</si>
  <si>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</si>
  <si>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</si>
  <si>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</si>
  <si>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</si>
  <si>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</si>
  <si>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</si>
  <si>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</si>
  <si>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</si>
  <si>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</si>
  <si>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</si>
  <si>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</si>
  <si>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</si>
  <si>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</si>
  <si>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</si>
  <si>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</si>
  <si>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</si>
  <si>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</si>
  <si>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</si>
  <si>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</si>
  <si>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</si>
  <si>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</si>
  <si>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</si>
  <si>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</si>
  <si>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</si>
  <si>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</si>
  <si>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</si>
  <si>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</si>
  <si>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</si>
  <si>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</si>
  <si>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</si>
  <si>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</si>
  <si>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</si>
  <si>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</si>
  <si>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</si>
  <si>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</si>
  <si>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</si>
  <si>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</si>
  <si>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</si>
  <si>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</si>
  <si>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</si>
  <si>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</si>
  <si>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</si>
  <si>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</si>
  <si>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</si>
  <si>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</si>
  <si>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</si>
  <si>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</si>
  <si>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</si>
  <si>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</si>
  <si>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</si>
  <si>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</si>
  <si>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</si>
  <si>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</si>
  <si>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</si>
  <si>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</si>
  <si>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</si>
  <si>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</si>
  <si>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</si>
  <si>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</si>
  <si>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</si>
  <si>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</si>
  <si>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</si>
  <si>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</si>
  <si>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</si>
  <si>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</si>
  <si>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</si>
  <si>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</si>
  <si>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</si>
  <si>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</si>
  <si>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</si>
  <si>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</si>
  <si>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</si>
  <si>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</si>
  <si>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</si>
  <si>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</si>
  <si>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</si>
  <si>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</si>
  <si>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</si>
  <si>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</si>
  <si>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</si>
  <si>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</si>
  <si>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</si>
  <si>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</si>
  <si>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</si>
  <si>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</si>
  <si>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</si>
  <si>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</si>
  <si>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</si>
  <si>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</si>
  <si>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</si>
  <si>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</si>
  <si>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</si>
  <si>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</si>
  <si>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</si>
  <si>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</si>
  <si>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</si>
  <si>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</si>
  <si>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</si>
  <si>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</si>
  <si>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</si>
  <si>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</si>
  <si>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</si>
  <si>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</si>
  <si>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</si>
  <si>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</si>
  <si>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</si>
  <si>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</si>
  <si>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</si>
  <si>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</si>
  <si>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</si>
  <si>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</si>
  <si>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</si>
  <si>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</si>
  <si>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</si>
  <si>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</si>
  <si>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</si>
  <si>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</si>
  <si>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</si>
  <si>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</si>
  <si>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</si>
  <si>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</si>
  <si>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</si>
  <si>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</si>
  <si>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</si>
  <si>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</si>
  <si>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</si>
  <si>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</si>
  <si>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</si>
  <si>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</si>
  <si>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</si>
  <si>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</si>
  <si>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</si>
  <si>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</si>
  <si>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</si>
  <si>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</si>
  <si>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</si>
  <si>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</si>
  <si>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</si>
  <si>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</si>
  <si>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</si>
  <si>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</si>
  <si>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</si>
  <si>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</si>
  <si>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</si>
  <si>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</si>
  <si>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</si>
  <si>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</si>
  <si>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</si>
  <si>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</si>
  <si>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</si>
  <si>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</si>
  <si>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</si>
  <si>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</si>
  <si>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</si>
  <si>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</si>
  <si>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</si>
  <si>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</si>
  <si>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</si>
  <si>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</si>
  <si>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</si>
  <si>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</si>
  <si>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</si>
  <si>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</si>
  <si>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</si>
  <si>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</si>
  <si>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</si>
  <si>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</si>
  <si>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</si>
  <si>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</si>
  <si>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</si>
  <si>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</si>
  <si>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</si>
  <si>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</si>
  <si>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</si>
  <si>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</si>
  <si>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</si>
  <si>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</si>
  <si>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</si>
  <si>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</si>
  <si>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</si>
  <si>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</si>
  <si>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</si>
  <si>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</si>
  <si>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</si>
  <si>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</si>
  <si>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</si>
  <si>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</si>
  <si>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</si>
  <si>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</si>
  <si>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</si>
  <si>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</si>
  <si>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</si>
  <si>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</si>
  <si>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</si>
  <si>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</si>
  <si>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</si>
  <si>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</si>
  <si>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</si>
  <si>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</si>
  <si>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</si>
  <si>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</si>
  <si>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</si>
  <si>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</si>
  <si>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</si>
  <si>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</si>
  <si>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</si>
  <si>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</si>
  <si>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</si>
  <si>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</si>
  <si>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</si>
  <si>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</si>
  <si>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</si>
  <si>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</si>
  <si>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</si>
  <si>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</si>
  <si>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</si>
  <si>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</si>
  <si>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Øvrige IPO</t>
  </si>
  <si>
    <t>Ingen tilknyttet virksomhed</t>
  </si>
  <si>
    <t>Ø 200 mm &lt; Ledningsnet ≤ Ø 500 mm</t>
  </si>
  <si>
    <t>75</t>
  </si>
  <si>
    <t>Ø 500 mm &lt; Ledningsnet ≤ Ø 800 mm</t>
  </si>
  <si>
    <t>Overbygning</t>
  </si>
  <si>
    <t>Pumpeinstallation Miljøklasse A (100-300 l/s) - Mek/EL</t>
  </si>
  <si>
    <t>20</t>
  </si>
  <si>
    <t>Pumpeinstallation Miljøklasse A (100-300 l/s) - SRO</t>
  </si>
  <si>
    <t>10</t>
  </si>
  <si>
    <t>Brønde</t>
  </si>
  <si>
    <t>Ø 1000 mm &lt; Ledningsnet ≤ Ø 1200 mm</t>
  </si>
  <si>
    <t>Kælder</t>
  </si>
  <si>
    <t>Pumpeinstallation Miljøklasse A (300-600 l/s) - Mek/EL</t>
  </si>
  <si>
    <t>Pumpeinstallation Miljøklasse A (300-600 l/s) - SRO</t>
  </si>
  <si>
    <t>Byggemodning Solrødgård, belysning</t>
  </si>
  <si>
    <t>30</t>
  </si>
  <si>
    <t>Byggemodning Solrødgård, beplantning</t>
  </si>
  <si>
    <t>40</t>
  </si>
  <si>
    <t>Administrationbygninger</t>
  </si>
  <si>
    <t>Byggemodning Solrødgård, elledninger</t>
  </si>
  <si>
    <t>Byggemodning Solrødgård, brønde</t>
  </si>
  <si>
    <t>Byggemodning Solrødgård, varmeledninger</t>
  </si>
  <si>
    <t>Byggemodning Solrødgård, lyssignaler</t>
  </si>
  <si>
    <t>Byggemodning Solrødgård, bro nr. 1</t>
  </si>
  <si>
    <t>50</t>
  </si>
  <si>
    <t>Byggemodning Solrødgård, bro nr. 2</t>
  </si>
  <si>
    <t>Byggemodning Solrødgård, bro nr. 3</t>
  </si>
  <si>
    <t>Byggemodning Solrødgård, bro nr. 4</t>
  </si>
  <si>
    <t>Byggemodning Solrødgård, bro nr. 5</t>
  </si>
  <si>
    <t>Byggemodning Solrødgård, bro nr. 6</t>
  </si>
  <si>
    <t>Byggemodning Solrødgård, bro nr. 7</t>
  </si>
  <si>
    <t>Byggemodning Solrødgård, sti nr. 1, 5, 15, 16, 17, 18</t>
  </si>
  <si>
    <t>Byggemodning Solrødgård, sti nr. 2</t>
  </si>
  <si>
    <t>Byggemodning Solrødgård, sti nr. 6 og 11</t>
  </si>
  <si>
    <t>Byggemodning Solrødgård, sti nr. 7</t>
  </si>
  <si>
    <t>Byggemodning Solrødgård, sti nr. 8 og 9</t>
  </si>
  <si>
    <t>Byggemodning Solrødgård, sti nr. 12 og 14</t>
  </si>
  <si>
    <t>Byggemodning Solrødgård, fugletårn</t>
  </si>
  <si>
    <t>Byggemodning Solrødgård, stamvej</t>
  </si>
  <si>
    <t>Byggemodning Solrødgård, vejbelysning</t>
  </si>
  <si>
    <t>Byggemodning Solrødgård, flagermushotel</t>
  </si>
  <si>
    <t>Byggemodning Solrødgård, hotspots</t>
  </si>
  <si>
    <t>KMC Solrødgård, facade</t>
  </si>
  <si>
    <t>KMC Solrødgård, tag</t>
  </si>
  <si>
    <t>KMC Solrødgård, grønt tag</t>
  </si>
  <si>
    <t>15</t>
  </si>
  <si>
    <t>KMC Solrødgård, gulve</t>
  </si>
  <si>
    <t>KMC Solrødgård, vinduer og døre</t>
  </si>
  <si>
    <t>KMC Solrødgård, inventar</t>
  </si>
  <si>
    <t>KMC Solrødgård, sprinkler</t>
  </si>
  <si>
    <t>KMC Solrødgård, VVS</t>
  </si>
  <si>
    <t>KMC Solrødgård, el</t>
  </si>
  <si>
    <t>KMC Solrødgård, ventilation</t>
  </si>
  <si>
    <t>KMC Solrødgård, CTS-anlæg</t>
  </si>
  <si>
    <t>KMC Solrødgård, udearealer</t>
  </si>
  <si>
    <t>KMC Solrødgård, it</t>
  </si>
  <si>
    <t>KMC Solrødgård, indvendige vægge og lofter</t>
  </si>
  <si>
    <t>Indløb med riste, Konstruktioner</t>
  </si>
  <si>
    <t>60</t>
  </si>
  <si>
    <t>Indløb med riste, Mek/EL</t>
  </si>
  <si>
    <t>HCR Syd, slammodtagestation, Konstruktioner</t>
  </si>
  <si>
    <t>HCR Syd, slammodtagestation, Mek/EL</t>
  </si>
  <si>
    <t>Sand- og fedtfang, Kontruktioner</t>
  </si>
  <si>
    <t>Sand- og fedtfang, Mek/EL</t>
  </si>
  <si>
    <t>Forklaring, Konstruktioner</t>
  </si>
  <si>
    <t>Forklaring, Mek/EL</t>
  </si>
  <si>
    <t>HCR Syd, internpumpestation, Konstruktioner</t>
  </si>
  <si>
    <t>HCR Syd, internpumpestation, Mek/EL</t>
  </si>
  <si>
    <t>HCR Syd, kemikalierum, Konstruktioner</t>
  </si>
  <si>
    <t>HCR Syd, kemikalierum, Mek/EL</t>
  </si>
  <si>
    <t>Beluftningstanke, Konstruktioner</t>
  </si>
  <si>
    <t>Beluftningstanke, Mek/EL</t>
  </si>
  <si>
    <t>HCR Syd, flowmåler og fordeler bygværk, Konstruktioner</t>
  </si>
  <si>
    <t>HCR Syd, flowmåler og fordeler bygværk, Mek/EL</t>
  </si>
  <si>
    <t>Efterklaringstanke, Konstruktioner</t>
  </si>
  <si>
    <t>Efterklaringstanke, Mek/El</t>
  </si>
  <si>
    <t>Efterbehandlingsanlæg (sandfilter), Konstruktioner</t>
  </si>
  <si>
    <t>Efterbehandlingsanlæg (sandfilter), Mek/EL</t>
  </si>
  <si>
    <t>Efterbehandlingsanlæg (sandfilter), SRO</t>
  </si>
  <si>
    <t>HCR Syd, lagune, Konstruktioner</t>
  </si>
  <si>
    <t>HCR Syd, udløbspumpestation, Konstruktioner</t>
  </si>
  <si>
    <t>HCR Syd, udløbspumpestation, Mek/EL</t>
  </si>
  <si>
    <t>HCR Syd, slampumpestationer, Konstruktioner</t>
  </si>
  <si>
    <t>HCR Syd, slampumpestationer, Mek/EL</t>
  </si>
  <si>
    <t>Rådnetanke, slam, Konstruktioner</t>
  </si>
  <si>
    <t>Rådnetanke, slam, Mek/EL</t>
  </si>
  <si>
    <t>Gasdisponering, Mek/EL</t>
  </si>
  <si>
    <t>Slutafvanding, slam - højteknologisk (centrifuger), Konstruktioner</t>
  </si>
  <si>
    <t>Slutafvanding, slam - højteknologisk (centrifuger), Mek/El</t>
  </si>
  <si>
    <t>HCR Syd, rejektvandsbehandling, Konstruktioner</t>
  </si>
  <si>
    <t>HCR Syd, rejektvandsbehandling, Mek/EL</t>
  </si>
  <si>
    <t>HCR Syd, rejektvandsbehandling, SRO</t>
  </si>
  <si>
    <t>HCR Syd, slambuffertank, Konstruktioner</t>
  </si>
  <si>
    <t>HCR Syd, slambuffertank, Mek/EL</t>
  </si>
  <si>
    <t>HCR Syd, slamcontainerrum, Konstruktioner</t>
  </si>
  <si>
    <t>HCR Syd, slamcontainerrum, Mek/EL</t>
  </si>
  <si>
    <t>HCR Syd, gasdisponering - varmeproduktion, Konstruktioner</t>
  </si>
  <si>
    <t>HCR Syd, gasdisponering - varmeproduktion, Mek/EL</t>
  </si>
  <si>
    <t>HCR Syd, ventation og luftrenseanlæg, Konstruktioner</t>
  </si>
  <si>
    <t>HCR Syd, ventation og luftrenseanlæg, Mek/EL</t>
  </si>
  <si>
    <t>HCR Syd, teknisk vand, Konstruktioner</t>
  </si>
  <si>
    <t>HCR Syd, teknisk vand, Mek/EL</t>
  </si>
  <si>
    <t>HCR Syd, trafo., lager, kontor, tavlerum, Konstruktioner</t>
  </si>
  <si>
    <t>Forsinkelsesbassiner, lukkede uden automatisk rensning og SRO Miljøklasse B (mindre end 1.000 m3)</t>
  </si>
  <si>
    <t>Jordbassin Klasse B</t>
  </si>
  <si>
    <t>Strømpeforing Ø 200 mm &lt; Ledningsnet ≤ Ø 500 mm</t>
  </si>
  <si>
    <t>Indløb-/udløbsarrangement</t>
  </si>
  <si>
    <t>KMC Solrødgård, brandsikring på døre</t>
  </si>
  <si>
    <t>Ingen nedsættelse eller bortfald</t>
  </si>
  <si>
    <t>Skærpet udlederkrav</t>
  </si>
  <si>
    <t>Ingen engangstillæg</t>
  </si>
  <si>
    <t>Klostervej 23 og Løngangsgade 34 A</t>
  </si>
  <si>
    <t>Byggemodninger og nye tilslutninger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</si>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</sst>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2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25">
      <c r="A8" s="1"/>
      <c r="B8" s="1"/>
      <c r="C8" s="4"/>
      <c r="D8" s="76" t="s">
        <v>226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8" t="s">
        <v>43</v>
      </c>
      <c r="E13" s="69"/>
      <c r="F13" s="69"/>
      <c r="G13" s="70"/>
      <c r="H13" s="1"/>
      <c r="I13" s="1"/>
    </row>
    <row r="14" spans="1:9" x14ac:dyDescent="0.25">
      <c r="A14" s="1"/>
      <c r="B14" s="1"/>
      <c r="C14" s="6" t="s">
        <v>17</v>
      </c>
      <c r="D14" s="68" t="s">
        <v>254</v>
      </c>
      <c r="E14" s="69"/>
      <c r="F14" s="69"/>
      <c r="G14" s="70"/>
      <c r="H14" s="1"/>
      <c r="I14" s="1"/>
    </row>
    <row r="15" spans="1:9" x14ac:dyDescent="0.25">
      <c r="A15" s="1"/>
      <c r="B15" s="1"/>
      <c r="C15" s="6" t="s">
        <v>41</v>
      </c>
      <c r="D15" s="68" t="s">
        <v>107</v>
      </c>
      <c r="E15" s="69"/>
      <c r="F15" s="69"/>
      <c r="G15" s="70"/>
      <c r="H15" s="1"/>
      <c r="I15" s="1"/>
    </row>
    <row r="16" spans="1:9" x14ac:dyDescent="0.25">
      <c r="A16" s="1"/>
      <c r="B16" s="1"/>
      <c r="C16" s="6" t="s">
        <v>42</v>
      </c>
      <c r="D16" s="68" t="s">
        <v>214</v>
      </c>
      <c r="E16" s="69"/>
      <c r="F16" s="69"/>
      <c r="G16" s="70"/>
      <c r="H16" s="1"/>
      <c r="I16" s="1"/>
    </row>
    <row r="17" spans="1:9" x14ac:dyDescent="0.25">
      <c r="A17" s="1"/>
      <c r="B17" s="1"/>
      <c r="C17" s="6" t="s">
        <v>180</v>
      </c>
      <c r="D17" s="68" t="s">
        <v>215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157</v>
      </c>
      <c r="D18" s="65" t="s">
        <v>135</v>
      </c>
      <c r="E18" s="66"/>
      <c r="F18" s="66"/>
      <c r="G18" s="67"/>
      <c r="H18" s="1"/>
      <c r="I18" s="1"/>
    </row>
    <row r="19" spans="1:9" x14ac:dyDescent="0.25">
      <c r="A19" s="1"/>
      <c r="B19" s="1"/>
      <c r="C19" s="6" t="s">
        <v>158</v>
      </c>
      <c r="D19" s="65" t="s">
        <v>136</v>
      </c>
      <c r="E19" s="66"/>
      <c r="F19" s="66"/>
      <c r="G19" s="67"/>
      <c r="H19" s="1"/>
      <c r="I19" s="1"/>
    </row>
    <row r="20" spans="1:9" x14ac:dyDescent="0.25">
      <c r="A20" s="1"/>
      <c r="B20" s="1"/>
      <c r="C20" s="6" t="s">
        <v>7</v>
      </c>
      <c r="D20" s="65" t="s">
        <v>10</v>
      </c>
      <c r="E20" s="66"/>
      <c r="F20" s="66"/>
      <c r="G20" s="67"/>
      <c r="H20" s="1"/>
      <c r="I20" s="1"/>
    </row>
    <row r="21" spans="1:9" x14ac:dyDescent="0.25">
      <c r="A21" s="1"/>
      <c r="B21" s="1"/>
      <c r="C21" s="6" t="s">
        <v>159</v>
      </c>
      <c r="D21" s="72" t="s">
        <v>13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111</v>
      </c>
      <c r="D22" s="59" t="s">
        <v>255</v>
      </c>
      <c r="E22" s="60"/>
      <c r="F22" s="60"/>
      <c r="G22" s="61"/>
      <c r="H22" s="1"/>
      <c r="I22" s="1"/>
    </row>
    <row r="23" spans="1:9" x14ac:dyDescent="0.25">
      <c r="A23" s="1"/>
      <c r="B23" s="1"/>
      <c r="C23" s="6" t="s">
        <v>8</v>
      </c>
      <c r="D23" s="59" t="s">
        <v>184</v>
      </c>
      <c r="E23" s="60"/>
      <c r="F23" s="60"/>
      <c r="G23" s="61"/>
      <c r="H23" s="1"/>
      <c r="I23" s="1"/>
    </row>
    <row r="24" spans="1:9" x14ac:dyDescent="0.25">
      <c r="A24" s="1"/>
      <c r="B24" s="1"/>
      <c r="C24" s="6" t="s">
        <v>9</v>
      </c>
      <c r="D24" s="59" t="s">
        <v>44</v>
      </c>
      <c r="E24" s="60"/>
      <c r="F24" s="60"/>
      <c r="G24" s="61"/>
      <c r="H24" s="1"/>
      <c r="I24" s="1"/>
    </row>
    <row r="25" spans="1:9" x14ac:dyDescent="0.25">
      <c r="A25" s="1"/>
      <c r="B25" s="1"/>
      <c r="C25" s="6" t="s">
        <v>160</v>
      </c>
      <c r="D25" s="59" t="s">
        <v>112</v>
      </c>
      <c r="E25" s="60"/>
      <c r="F25" s="60"/>
      <c r="G25" s="61"/>
      <c r="H25" s="1"/>
      <c r="I25" s="1"/>
    </row>
    <row r="26" spans="1:9" x14ac:dyDescent="0.25">
      <c r="A26" s="1"/>
      <c r="B26" s="1"/>
      <c r="C26" s="6" t="s">
        <v>161</v>
      </c>
      <c r="D26" s="59" t="s">
        <v>113</v>
      </c>
      <c r="E26" s="60"/>
      <c r="F26" s="60"/>
      <c r="G26" s="61"/>
      <c r="H26" s="1"/>
      <c r="I26" s="1"/>
    </row>
    <row r="27" spans="1:9" x14ac:dyDescent="0.25">
      <c r="A27" s="1"/>
      <c r="B27" s="1"/>
      <c r="C27" s="6" t="s">
        <v>162</v>
      </c>
      <c r="D27" s="59" t="s">
        <v>114</v>
      </c>
      <c r="E27" s="60"/>
      <c r="F27" s="60"/>
      <c r="G27" s="61"/>
      <c r="H27" s="1"/>
      <c r="I27" s="1"/>
    </row>
    <row r="28" spans="1:9" x14ac:dyDescent="0.25">
      <c r="A28" s="1"/>
      <c r="B28" s="1"/>
      <c r="C28" s="6" t="s">
        <v>16</v>
      </c>
      <c r="D28" s="59" t="s">
        <v>216</v>
      </c>
      <c r="E28" s="60"/>
      <c r="F28" s="60"/>
      <c r="G28" s="61"/>
      <c r="H28" s="1"/>
      <c r="I28" s="1"/>
    </row>
    <row r="29" spans="1:9" x14ac:dyDescent="0.25">
      <c r="A29" s="1"/>
      <c r="B29" s="1"/>
      <c r="C29" s="6" t="s">
        <v>46</v>
      </c>
      <c r="D29" s="59" t="s">
        <v>45</v>
      </c>
      <c r="E29" s="60"/>
      <c r="F29" s="60"/>
      <c r="G29" s="61"/>
      <c r="H29" s="1"/>
      <c r="I29" s="1"/>
    </row>
    <row r="30" spans="1:9" x14ac:dyDescent="0.25">
      <c r="A30" s="1"/>
      <c r="B30" s="1"/>
      <c r="C30" s="6" t="s">
        <v>47</v>
      </c>
      <c r="D30" s="62" t="s">
        <v>155</v>
      </c>
      <c r="E30" s="63"/>
      <c r="F30" s="63"/>
      <c r="G30" s="64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7" t="s">
        <v>165</v>
      </c>
      <c r="C3" s="77"/>
      <c r="D3" s="77"/>
      <c r="E3" s="1"/>
      <c r="F3" s="1"/>
    </row>
    <row r="4" spans="1:6" ht="15" customHeight="1" x14ac:dyDescent="0.25">
      <c r="A4" s="1"/>
      <c r="B4" s="77"/>
      <c r="C4" s="77"/>
      <c r="D4" s="7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1" t="s">
        <v>196</v>
      </c>
      <c r="C8" s="92"/>
      <c r="D8" s="93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6" t="s">
        <v>265</v>
      </c>
      <c r="C10" s="9">
        <v>2133910</v>
      </c>
      <c r="D10" s="14" t="s">
        <v>3</v>
      </c>
      <c r="E10" s="1"/>
      <c r="F10" s="1"/>
    </row>
    <row r="11" spans="1:6" ht="15" customHeight="1" x14ac:dyDescent="0.25">
      <c r="A11" s="1"/>
      <c r="B11" s="56" t="s">
        <v>266</v>
      </c>
      <c r="C11" s="9">
        <v>90593</v>
      </c>
      <c r="D11" s="14" t="s">
        <v>3</v>
      </c>
      <c r="E11" s="1"/>
      <c r="F11" s="1"/>
    </row>
    <row r="12" spans="1:6" x14ac:dyDescent="0.25">
      <c r="A12" s="1"/>
      <c r="B12" s="56" t="s">
        <v>267</v>
      </c>
      <c r="C12" s="9">
        <v>3688163</v>
      </c>
      <c r="D12" s="14" t="s">
        <v>3</v>
      </c>
      <c r="E12" s="1"/>
      <c r="F12" s="1"/>
    </row>
    <row r="13" spans="1:6" x14ac:dyDescent="0.25">
      <c r="A13" s="1"/>
      <c r="B13" s="56" t="s">
        <v>268</v>
      </c>
      <c r="C13" s="9">
        <v>443441</v>
      </c>
      <c r="D13" s="14" t="s">
        <v>3</v>
      </c>
      <c r="E13" s="1"/>
      <c r="F13" s="1"/>
    </row>
    <row r="14" spans="1:6" x14ac:dyDescent="0.25">
      <c r="A14" s="1"/>
      <c r="B14" s="56" t="s">
        <v>269</v>
      </c>
      <c r="C14" s="9">
        <v>87374</v>
      </c>
      <c r="D14" s="14" t="s">
        <v>3</v>
      </c>
      <c r="E14" s="1"/>
      <c r="F14" s="1"/>
    </row>
    <row r="15" spans="1:6" x14ac:dyDescent="0.25">
      <c r="A15" s="1"/>
      <c r="B15" s="38" t="s">
        <v>198</v>
      </c>
      <c r="C15" s="12">
        <f>SUM(C10:C14)</f>
        <v>6443481</v>
      </c>
      <c r="D15" s="13" t="s">
        <v>3</v>
      </c>
      <c r="E15" s="1"/>
      <c r="F15" s="1"/>
    </row>
    <row r="16" spans="1:6" x14ac:dyDescent="0.25">
      <c r="A16" s="1"/>
      <c r="B16" s="38" t="s">
        <v>199</v>
      </c>
      <c r="C16" s="12">
        <f>C15*(1+'Fane 14. Nøgletal'!C13)^2</f>
        <v>6601660.9841120401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1" t="s">
        <v>178</v>
      </c>
      <c r="C19" s="92"/>
      <c r="D19" s="93"/>
      <c r="E19" s="1"/>
      <c r="F19" s="1"/>
    </row>
    <row r="20" spans="1:6" x14ac:dyDescent="0.25">
      <c r="A20" s="1"/>
      <c r="B20" s="56" t="s">
        <v>147</v>
      </c>
      <c r="C20" s="9">
        <v>1678803</v>
      </c>
      <c r="D20" s="14" t="s">
        <v>3</v>
      </c>
      <c r="E20" s="1"/>
      <c r="F20" s="1"/>
    </row>
    <row r="21" spans="1:6" x14ac:dyDescent="0.25">
      <c r="A21" s="1"/>
      <c r="B21" s="56" t="s">
        <v>148</v>
      </c>
      <c r="C21" s="9">
        <v>1678803</v>
      </c>
      <c r="D21" s="14" t="s">
        <v>3</v>
      </c>
      <c r="E21" s="1"/>
      <c r="F21" s="1"/>
    </row>
    <row r="22" spans="1:6" x14ac:dyDescent="0.25">
      <c r="A22" s="1"/>
      <c r="B22" s="56" t="s">
        <v>149</v>
      </c>
      <c r="C22" s="9">
        <v>1678803</v>
      </c>
      <c r="D22" s="14" t="s">
        <v>3</v>
      </c>
      <c r="E22" s="1"/>
      <c r="F22" s="1"/>
    </row>
    <row r="23" spans="1:6" x14ac:dyDescent="0.25">
      <c r="A23" s="1"/>
      <c r="B23" s="56" t="s">
        <v>200</v>
      </c>
      <c r="C23" s="9">
        <v>1678803</v>
      </c>
      <c r="D23" s="14" t="s">
        <v>3</v>
      </c>
      <c r="E23" s="1"/>
      <c r="F23" s="1"/>
    </row>
    <row r="24" spans="1:6" x14ac:dyDescent="0.25">
      <c r="A24" s="1"/>
      <c r="B24" s="91"/>
      <c r="C24" s="92"/>
      <c r="D24" s="93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1" t="s">
        <v>146</v>
      </c>
      <c r="C27" s="92"/>
      <c r="D27" s="93"/>
      <c r="E27" s="1"/>
      <c r="F27" s="1"/>
    </row>
    <row r="28" spans="1:6" x14ac:dyDescent="0.25">
      <c r="A28" s="1"/>
      <c r="B28" s="56" t="s">
        <v>147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6" t="s">
        <v>148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6" t="s">
        <v>149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6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1"/>
      <c r="C32" s="92"/>
      <c r="D32" s="93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8" t="s">
        <v>256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ht="15" customHeight="1" x14ac:dyDescent="0.25">
      <c r="A5" s="1"/>
      <c r="B5" s="53"/>
      <c r="C5" s="53"/>
      <c r="D5" s="53"/>
      <c r="E5" s="53"/>
      <c r="F5" s="53"/>
      <c r="G5" s="1"/>
    </row>
    <row r="6" spans="1:7" ht="15" customHeight="1" x14ac:dyDescent="0.25">
      <c r="A6" s="1"/>
      <c r="B6" s="53"/>
      <c r="C6" s="53"/>
      <c r="D6" s="53"/>
      <c r="E6" s="53"/>
      <c r="F6" s="53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137</v>
      </c>
      <c r="C8" s="92"/>
      <c r="D8" s="92"/>
      <c r="E8" s="92"/>
      <c r="F8" s="93"/>
      <c r="G8" s="1"/>
    </row>
    <row r="9" spans="1:7" x14ac:dyDescent="0.25">
      <c r="A9" s="1"/>
      <c r="B9" s="94" t="s">
        <v>138</v>
      </c>
      <c r="C9" s="95"/>
      <c r="D9" s="96"/>
      <c r="E9" s="9">
        <v>85851883.943402544</v>
      </c>
      <c r="F9" s="14" t="s">
        <v>3</v>
      </c>
      <c r="G9" s="1"/>
    </row>
    <row r="10" spans="1:7" x14ac:dyDescent="0.25">
      <c r="A10" s="1"/>
      <c r="B10" s="94" t="s">
        <v>139</v>
      </c>
      <c r="C10" s="95"/>
      <c r="D10" s="96"/>
      <c r="E10" s="9">
        <v>88697913</v>
      </c>
      <c r="F10" s="14" t="s">
        <v>3</v>
      </c>
      <c r="G10" s="1"/>
    </row>
    <row r="11" spans="1:7" x14ac:dyDescent="0.25">
      <c r="A11" s="1"/>
      <c r="B11" s="94" t="s">
        <v>40</v>
      </c>
      <c r="C11" s="95"/>
      <c r="D11" s="96"/>
      <c r="E11" s="9">
        <v>4000</v>
      </c>
      <c r="F11" s="14" t="s">
        <v>3</v>
      </c>
      <c r="G11" s="1"/>
    </row>
    <row r="12" spans="1:7" x14ac:dyDescent="0.25">
      <c r="A12" s="1"/>
      <c r="B12" s="84" t="s">
        <v>140</v>
      </c>
      <c r="C12" s="85"/>
      <c r="D12" s="103"/>
      <c r="E12" s="10">
        <f>E9-(E10-E11)</f>
        <v>-2842029.0565974563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9" t="s">
        <v>156</v>
      </c>
      <c r="C14" s="80"/>
      <c r="D14" s="80"/>
      <c r="E14" s="80"/>
      <c r="F14" s="81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1" t="s">
        <v>52</v>
      </c>
      <c r="C16" s="92"/>
      <c r="D16" s="92"/>
      <c r="E16" s="92"/>
      <c r="F16" s="93"/>
      <c r="G16" s="1"/>
    </row>
    <row r="17" spans="1:7" x14ac:dyDescent="0.25">
      <c r="A17" s="1"/>
      <c r="B17" s="94" t="s">
        <v>53</v>
      </c>
      <c r="C17" s="95"/>
      <c r="D17" s="96"/>
      <c r="E17" s="9">
        <v>94242986.728760317</v>
      </c>
      <c r="F17" s="14" t="s">
        <v>3</v>
      </c>
      <c r="G17" s="1"/>
    </row>
    <row r="18" spans="1:7" x14ac:dyDescent="0.25">
      <c r="A18" s="1"/>
      <c r="B18" s="94" t="s">
        <v>54</v>
      </c>
      <c r="C18" s="95"/>
      <c r="D18" s="96"/>
      <c r="E18" s="9">
        <v>93647844</v>
      </c>
      <c r="F18" s="14" t="s">
        <v>3</v>
      </c>
      <c r="G18" s="1"/>
    </row>
    <row r="19" spans="1:7" x14ac:dyDescent="0.25">
      <c r="A19" s="1"/>
      <c r="B19" s="94" t="s">
        <v>40</v>
      </c>
      <c r="C19" s="95"/>
      <c r="D19" s="96"/>
      <c r="E19" s="9">
        <v>0</v>
      </c>
      <c r="F19" s="14" t="s">
        <v>3</v>
      </c>
      <c r="G19" s="1"/>
    </row>
    <row r="20" spans="1:7" x14ac:dyDescent="0.25">
      <c r="A20" s="1"/>
      <c r="B20" s="84" t="s">
        <v>55</v>
      </c>
      <c r="C20" s="85"/>
      <c r="D20" s="103"/>
      <c r="E20" s="10">
        <f>E17-(E18-E19)</f>
        <v>595142.72876031697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9" t="s">
        <v>218</v>
      </c>
      <c r="C22" s="80"/>
      <c r="D22" s="80"/>
      <c r="E22" s="80"/>
      <c r="F22" s="81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1" t="s">
        <v>245</v>
      </c>
      <c r="C24" s="92"/>
      <c r="D24" s="92"/>
      <c r="E24" s="92"/>
      <c r="F24" s="93"/>
      <c r="G24" s="1"/>
    </row>
    <row r="25" spans="1:7" x14ac:dyDescent="0.25">
      <c r="A25" s="1"/>
      <c r="B25" s="94" t="s">
        <v>246</v>
      </c>
      <c r="C25" s="95"/>
      <c r="D25" s="96"/>
      <c r="E25" s="9">
        <v>91123120.866232112</v>
      </c>
      <c r="F25" s="14" t="s">
        <v>3</v>
      </c>
      <c r="G25" s="1"/>
    </row>
    <row r="26" spans="1:7" x14ac:dyDescent="0.25">
      <c r="A26" s="1"/>
      <c r="B26" s="94" t="s">
        <v>247</v>
      </c>
      <c r="C26" s="95"/>
      <c r="D26" s="96"/>
      <c r="E26" s="9">
        <v>85113747</v>
      </c>
      <c r="F26" s="14" t="s">
        <v>3</v>
      </c>
      <c r="G26" s="1"/>
    </row>
    <row r="27" spans="1:7" x14ac:dyDescent="0.25">
      <c r="A27" s="1"/>
      <c r="B27" s="94" t="s">
        <v>40</v>
      </c>
      <c r="C27" s="95"/>
      <c r="D27" s="96"/>
      <c r="E27" s="9">
        <v>125000</v>
      </c>
      <c r="F27" s="14" t="s">
        <v>3</v>
      </c>
      <c r="G27" s="1"/>
    </row>
    <row r="28" spans="1:7" x14ac:dyDescent="0.25">
      <c r="A28" s="1"/>
      <c r="B28" s="84" t="s">
        <v>248</v>
      </c>
      <c r="C28" s="85"/>
      <c r="D28" s="103"/>
      <c r="E28" s="10">
        <f>E25-(E26-E27)</f>
        <v>6134373.8662321121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1" t="s">
        <v>250</v>
      </c>
      <c r="C31" s="92"/>
      <c r="D31" s="92"/>
      <c r="E31" s="92"/>
      <c r="F31" s="93"/>
      <c r="G31" s="1"/>
    </row>
    <row r="32" spans="1:7" x14ac:dyDescent="0.25">
      <c r="A32" s="1"/>
      <c r="B32" s="84" t="s">
        <v>251</v>
      </c>
      <c r="C32" s="85"/>
      <c r="D32" s="103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-1421014.5282987282</v>
      </c>
      <c r="F32" s="17" t="s">
        <v>3</v>
      </c>
      <c r="G32" s="1"/>
    </row>
    <row r="33" spans="1:7" x14ac:dyDescent="0.25">
      <c r="A33" s="1"/>
      <c r="B33" s="91"/>
      <c r="C33" s="92"/>
      <c r="D33" s="92"/>
      <c r="E33" s="92"/>
      <c r="F33" s="93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91" t="s">
        <v>249</v>
      </c>
      <c r="C35" s="92"/>
      <c r="D35" s="92"/>
      <c r="E35" s="92"/>
      <c r="F35" s="93"/>
      <c r="G35" s="1"/>
    </row>
    <row r="36" spans="1:7" x14ac:dyDescent="0.25">
      <c r="A36" s="1"/>
      <c r="B36" s="104" t="s">
        <v>383</v>
      </c>
      <c r="C36" s="105"/>
      <c r="D36" s="106"/>
      <c r="E36" s="9">
        <v>0</v>
      </c>
      <c r="F36" s="14"/>
      <c r="G36" s="1"/>
    </row>
    <row r="37" spans="1:7" x14ac:dyDescent="0.25">
      <c r="A37" s="1"/>
      <c r="B37" s="104" t="s">
        <v>384</v>
      </c>
      <c r="C37" s="105"/>
      <c r="D37" s="106"/>
      <c r="E37" s="9">
        <v>0</v>
      </c>
      <c r="F37" s="14"/>
      <c r="G37" s="1"/>
    </row>
    <row r="38" spans="1:7" x14ac:dyDescent="0.25">
      <c r="A38" s="1"/>
      <c r="B38" s="104" t="s">
        <v>252</v>
      </c>
      <c r="C38" s="105"/>
      <c r="D38" s="106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4" t="s">
        <v>152</v>
      </c>
      <c r="C39" s="105"/>
      <c r="D39" s="106"/>
      <c r="E39" s="9">
        <v>2</v>
      </c>
      <c r="F39" s="14" t="s">
        <v>21</v>
      </c>
      <c r="G39" s="1"/>
    </row>
    <row r="40" spans="1:7" x14ac:dyDescent="0.25">
      <c r="A40" s="1"/>
      <c r="B40" s="110" t="s">
        <v>253</v>
      </c>
      <c r="C40" s="110"/>
      <c r="D40" s="110"/>
      <c r="E40" s="10">
        <f>E38/E39</f>
        <v>0</v>
      </c>
      <c r="F40" s="17" t="s">
        <v>3</v>
      </c>
      <c r="G40" s="1"/>
    </row>
    <row r="41" spans="1:7" x14ac:dyDescent="0.25">
      <c r="A41" s="1"/>
      <c r="B41" s="107"/>
      <c r="C41" s="108"/>
      <c r="D41" s="108"/>
      <c r="E41" s="108"/>
      <c r="F41" s="109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8" t="s">
        <v>201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1" t="s">
        <v>202</v>
      </c>
      <c r="C9" s="92"/>
      <c r="D9" s="92"/>
      <c r="E9" s="92"/>
      <c r="F9" s="93"/>
      <c r="G9" s="1"/>
    </row>
    <row r="10" spans="1:7" x14ac:dyDescent="0.25">
      <c r="A10" s="1"/>
      <c r="B10" s="79" t="s">
        <v>150</v>
      </c>
      <c r="C10" s="80"/>
      <c r="D10" s="81"/>
      <c r="E10" s="7">
        <v>0</v>
      </c>
      <c r="F10" s="8" t="s">
        <v>3</v>
      </c>
      <c r="G10" s="1"/>
    </row>
    <row r="11" spans="1:7" x14ac:dyDescent="0.25">
      <c r="A11" s="1"/>
      <c r="B11" s="94" t="s">
        <v>203</v>
      </c>
      <c r="C11" s="95"/>
      <c r="D11" s="96"/>
      <c r="E11" s="7">
        <v>0</v>
      </c>
      <c r="F11" s="8" t="s">
        <v>3</v>
      </c>
      <c r="G11" s="1"/>
    </row>
    <row r="12" spans="1:7" x14ac:dyDescent="0.25">
      <c r="A12" s="1"/>
      <c r="B12" s="84" t="s">
        <v>151</v>
      </c>
      <c r="C12" s="85"/>
      <c r="D12" s="103"/>
      <c r="E12" s="10">
        <f>E11-E10</f>
        <v>0</v>
      </c>
      <c r="F12" s="11" t="s">
        <v>3</v>
      </c>
      <c r="G12" s="1"/>
    </row>
    <row r="13" spans="1:7" x14ac:dyDescent="0.25">
      <c r="A13" s="1"/>
      <c r="B13" s="91" t="s">
        <v>134</v>
      </c>
      <c r="C13" s="92"/>
      <c r="D13" s="92"/>
      <c r="E13" s="92"/>
      <c r="F13" s="93"/>
      <c r="G13" s="1"/>
    </row>
    <row r="14" spans="1:7" x14ac:dyDescent="0.25">
      <c r="A14" s="1"/>
      <c r="B14" s="94" t="s">
        <v>204</v>
      </c>
      <c r="C14" s="95"/>
      <c r="D14" s="96"/>
      <c r="E14" s="9">
        <v>1678803</v>
      </c>
      <c r="F14" s="8" t="s">
        <v>3</v>
      </c>
      <c r="G14" s="1"/>
    </row>
    <row r="15" spans="1:7" x14ac:dyDescent="0.25">
      <c r="A15" s="1"/>
      <c r="B15" s="79" t="s">
        <v>205</v>
      </c>
      <c r="C15" s="80"/>
      <c r="D15" s="81"/>
      <c r="E15" s="9">
        <v>147870</v>
      </c>
      <c r="F15" s="8" t="s">
        <v>3</v>
      </c>
      <c r="G15" s="1"/>
    </row>
    <row r="16" spans="1:7" x14ac:dyDescent="0.25">
      <c r="A16" s="1"/>
      <c r="B16" s="84" t="s">
        <v>151</v>
      </c>
      <c r="C16" s="85"/>
      <c r="D16" s="103"/>
      <c r="E16" s="10">
        <f>E15-E14</f>
        <v>-1530933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-1530933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0sCJ4DxvPVbhdZyxciwZKmvS/L3hcHgTfL/BEfFhTBMaZx6CBcO9pHauAhxsU7lrMRo0Fwr4I/XNpTTfUWROxg==" saltValue="orDO31LlhfDhZzn4trzIJ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15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236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1" t="s">
        <v>237</v>
      </c>
      <c r="C8" s="92"/>
      <c r="D8" s="92"/>
      <c r="E8" s="92"/>
      <c r="F8" s="92"/>
      <c r="G8" s="92"/>
      <c r="H8" s="93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26.25" x14ac:dyDescent="0.25">
      <c r="A10" s="1"/>
      <c r="B10" s="58" t="s">
        <v>271</v>
      </c>
      <c r="C10" s="47" t="s">
        <v>272</v>
      </c>
      <c r="D10" s="9">
        <v>204728.88</v>
      </c>
      <c r="E10" s="9">
        <f>IFERROR(D10/C10,0)</f>
        <v>2729.7184000000002</v>
      </c>
      <c r="F10" s="9">
        <v>0</v>
      </c>
      <c r="G10" s="9">
        <v>4319.78</v>
      </c>
      <c r="H10" s="14" t="s">
        <v>3</v>
      </c>
      <c r="I10" s="1"/>
    </row>
    <row r="11" spans="1:9" ht="26.25" x14ac:dyDescent="0.25">
      <c r="A11" s="1"/>
      <c r="B11" s="58" t="s">
        <v>273</v>
      </c>
      <c r="C11" s="47" t="s">
        <v>272</v>
      </c>
      <c r="D11" s="9">
        <v>362178.64</v>
      </c>
      <c r="E11" s="9">
        <f t="shared" ref="E11:E74" si="0">IFERROR(D11/C11,0)</f>
        <v>4829.0485333333336</v>
      </c>
      <c r="F11" s="9">
        <v>0</v>
      </c>
      <c r="G11" s="9">
        <v>7641.97</v>
      </c>
      <c r="H11" s="14" t="s">
        <v>3</v>
      </c>
      <c r="I11" s="1"/>
    </row>
    <row r="12" spans="1:9" x14ac:dyDescent="0.25">
      <c r="A12" s="1"/>
      <c r="B12" s="58" t="s">
        <v>274</v>
      </c>
      <c r="C12" s="47" t="s">
        <v>272</v>
      </c>
      <c r="D12" s="9">
        <v>157442.87</v>
      </c>
      <c r="E12" s="9">
        <f t="shared" si="0"/>
        <v>2099.2382666666667</v>
      </c>
      <c r="F12" s="9">
        <v>0</v>
      </c>
      <c r="G12" s="9">
        <v>3322.04</v>
      </c>
      <c r="H12" s="14" t="s">
        <v>3</v>
      </c>
      <c r="I12" s="1"/>
    </row>
    <row r="13" spans="1:9" ht="39" x14ac:dyDescent="0.25">
      <c r="A13" s="1"/>
      <c r="B13" s="58" t="s">
        <v>275</v>
      </c>
      <c r="C13" s="47" t="s">
        <v>276</v>
      </c>
      <c r="D13" s="9">
        <v>87840.36</v>
      </c>
      <c r="E13" s="9">
        <f t="shared" si="0"/>
        <v>4392.018</v>
      </c>
      <c r="F13" s="9">
        <v>0</v>
      </c>
      <c r="G13" s="9">
        <v>1853.43</v>
      </c>
      <c r="H13" s="14" t="s">
        <v>3</v>
      </c>
      <c r="I13" s="1"/>
    </row>
    <row r="14" spans="1:9" ht="39" x14ac:dyDescent="0.25">
      <c r="A14" s="1"/>
      <c r="B14" s="58" t="s">
        <v>277</v>
      </c>
      <c r="C14" s="47" t="s">
        <v>278</v>
      </c>
      <c r="D14" s="9">
        <v>11575.84</v>
      </c>
      <c r="E14" s="9">
        <f t="shared" si="0"/>
        <v>1157.5840000000001</v>
      </c>
      <c r="F14" s="9">
        <v>0</v>
      </c>
      <c r="G14" s="9">
        <v>244.25</v>
      </c>
      <c r="H14" s="14" t="s">
        <v>3</v>
      </c>
      <c r="I14" s="1"/>
    </row>
    <row r="15" spans="1:9" x14ac:dyDescent="0.25">
      <c r="A15" s="1"/>
      <c r="B15" s="58" t="s">
        <v>279</v>
      </c>
      <c r="C15" s="47" t="s">
        <v>272</v>
      </c>
      <c r="D15" s="9">
        <v>23790.28</v>
      </c>
      <c r="E15" s="9">
        <f t="shared" si="0"/>
        <v>317.20373333333333</v>
      </c>
      <c r="F15" s="9">
        <v>0</v>
      </c>
      <c r="G15" s="9">
        <v>501.97</v>
      </c>
      <c r="H15" s="14" t="s">
        <v>3</v>
      </c>
      <c r="I15" s="1"/>
    </row>
    <row r="16" spans="1:9" ht="26.25" x14ac:dyDescent="0.25">
      <c r="A16" s="1"/>
      <c r="B16" s="58" t="s">
        <v>271</v>
      </c>
      <c r="C16" s="47" t="s">
        <v>272</v>
      </c>
      <c r="D16" s="9">
        <v>1236921.23</v>
      </c>
      <c r="E16" s="9">
        <f t="shared" si="0"/>
        <v>16492.283066666667</v>
      </c>
      <c r="F16" s="9">
        <v>0</v>
      </c>
      <c r="G16" s="9">
        <v>26099.040000000001</v>
      </c>
      <c r="H16" s="14" t="s">
        <v>3</v>
      </c>
      <c r="I16" s="1"/>
    </row>
    <row r="17" spans="1:9" ht="26.25" x14ac:dyDescent="0.25">
      <c r="A17" s="1"/>
      <c r="B17" s="58" t="s">
        <v>273</v>
      </c>
      <c r="C17" s="47" t="s">
        <v>272</v>
      </c>
      <c r="D17" s="9">
        <v>589073.72</v>
      </c>
      <c r="E17" s="9">
        <f t="shared" si="0"/>
        <v>7854.3162666666667</v>
      </c>
      <c r="F17" s="9">
        <v>0</v>
      </c>
      <c r="G17" s="9">
        <v>12429.46</v>
      </c>
      <c r="H17" s="14" t="s">
        <v>3</v>
      </c>
      <c r="I17" s="1"/>
    </row>
    <row r="18" spans="1:9" ht="26.25" x14ac:dyDescent="0.25">
      <c r="A18" s="1"/>
      <c r="B18" s="58" t="s">
        <v>280</v>
      </c>
      <c r="C18" s="47" t="s">
        <v>272</v>
      </c>
      <c r="D18" s="9">
        <v>1077964.83</v>
      </c>
      <c r="E18" s="9">
        <f t="shared" si="0"/>
        <v>14372.8644</v>
      </c>
      <c r="F18" s="9">
        <v>0</v>
      </c>
      <c r="G18" s="9">
        <v>22745.06</v>
      </c>
      <c r="H18" s="14" t="s">
        <v>3</v>
      </c>
      <c r="I18" s="1"/>
    </row>
    <row r="19" spans="1:9" ht="26.25" x14ac:dyDescent="0.25">
      <c r="A19" s="1"/>
      <c r="B19" s="58" t="s">
        <v>271</v>
      </c>
      <c r="C19" s="47" t="s">
        <v>272</v>
      </c>
      <c r="D19" s="9">
        <v>689701.58</v>
      </c>
      <c r="E19" s="9">
        <f t="shared" si="0"/>
        <v>9196.0210666666662</v>
      </c>
      <c r="F19" s="9">
        <v>0</v>
      </c>
      <c r="G19" s="9">
        <v>14552.7</v>
      </c>
      <c r="H19" s="14" t="s">
        <v>3</v>
      </c>
      <c r="I19" s="1"/>
    </row>
    <row r="20" spans="1:9" x14ac:dyDescent="0.25">
      <c r="A20" s="1"/>
      <c r="B20" s="58" t="s">
        <v>279</v>
      </c>
      <c r="C20" s="47" t="s">
        <v>272</v>
      </c>
      <c r="D20" s="9">
        <v>81481.850000000006</v>
      </c>
      <c r="E20" s="9">
        <f t="shared" si="0"/>
        <v>1086.4246666666668</v>
      </c>
      <c r="F20" s="9">
        <v>0</v>
      </c>
      <c r="G20" s="9">
        <v>1719.27</v>
      </c>
      <c r="H20" s="14" t="s">
        <v>3</v>
      </c>
      <c r="I20" s="1"/>
    </row>
    <row r="21" spans="1:9" x14ac:dyDescent="0.25">
      <c r="A21" s="1"/>
      <c r="B21" s="58" t="s">
        <v>281</v>
      </c>
      <c r="C21" s="47" t="s">
        <v>272</v>
      </c>
      <c r="D21" s="9">
        <v>402066.19</v>
      </c>
      <c r="E21" s="9">
        <f t="shared" si="0"/>
        <v>5360.8825333333334</v>
      </c>
      <c r="F21" s="9">
        <v>0</v>
      </c>
      <c r="G21" s="9">
        <v>8483.6</v>
      </c>
      <c r="H21" s="14" t="s">
        <v>3</v>
      </c>
      <c r="I21" s="1"/>
    </row>
    <row r="22" spans="1:9" ht="39" x14ac:dyDescent="0.25">
      <c r="A22" s="1"/>
      <c r="B22" s="58" t="s">
        <v>282</v>
      </c>
      <c r="C22" s="47" t="s">
        <v>276</v>
      </c>
      <c r="D22" s="9">
        <v>350861.74</v>
      </c>
      <c r="E22" s="9">
        <f t="shared" si="0"/>
        <v>17543.087</v>
      </c>
      <c r="F22" s="9">
        <v>0</v>
      </c>
      <c r="G22" s="9">
        <v>7403.18</v>
      </c>
      <c r="H22" s="14" t="s">
        <v>3</v>
      </c>
      <c r="I22" s="1"/>
    </row>
    <row r="23" spans="1:9" ht="39" x14ac:dyDescent="0.25">
      <c r="A23" s="1"/>
      <c r="B23" s="58" t="s">
        <v>283</v>
      </c>
      <c r="C23" s="47" t="s">
        <v>278</v>
      </c>
      <c r="D23" s="9">
        <v>24489.08</v>
      </c>
      <c r="E23" s="9">
        <f t="shared" si="0"/>
        <v>2448.9080000000004</v>
      </c>
      <c r="F23" s="9">
        <v>0</v>
      </c>
      <c r="G23" s="9">
        <v>516.72</v>
      </c>
      <c r="H23" s="14" t="s">
        <v>3</v>
      </c>
      <c r="I23" s="1"/>
    </row>
    <row r="24" spans="1:9" ht="26.25" x14ac:dyDescent="0.25">
      <c r="A24" s="1"/>
      <c r="B24" s="58" t="s">
        <v>284</v>
      </c>
      <c r="C24" s="47" t="s">
        <v>285</v>
      </c>
      <c r="D24" s="9">
        <v>6296.71</v>
      </c>
      <c r="E24" s="9">
        <f t="shared" si="0"/>
        <v>209.89033333333333</v>
      </c>
      <c r="F24" s="9">
        <v>0</v>
      </c>
      <c r="G24" s="9">
        <v>132.86000000000001</v>
      </c>
      <c r="H24" s="14" t="s">
        <v>3</v>
      </c>
      <c r="I24" s="1"/>
    </row>
    <row r="25" spans="1:9" ht="26.25" x14ac:dyDescent="0.25">
      <c r="A25" s="1"/>
      <c r="B25" s="58" t="s">
        <v>286</v>
      </c>
      <c r="C25" s="47" t="s">
        <v>287</v>
      </c>
      <c r="D25" s="9">
        <v>76075.399999999994</v>
      </c>
      <c r="E25" s="9">
        <f t="shared" si="0"/>
        <v>1901.8849999999998</v>
      </c>
      <c r="F25" s="9">
        <v>0</v>
      </c>
      <c r="G25" s="9">
        <v>1605.19</v>
      </c>
      <c r="H25" s="14" t="s">
        <v>3</v>
      </c>
      <c r="I25" s="1"/>
    </row>
    <row r="26" spans="1:9" x14ac:dyDescent="0.25">
      <c r="A26" s="1"/>
      <c r="B26" s="58" t="s">
        <v>288</v>
      </c>
      <c r="C26" s="47" t="s">
        <v>272</v>
      </c>
      <c r="D26" s="9">
        <v>25678.94</v>
      </c>
      <c r="E26" s="9">
        <f t="shared" si="0"/>
        <v>342.38586666666663</v>
      </c>
      <c r="F26" s="9">
        <v>0</v>
      </c>
      <c r="G26" s="9">
        <v>541.83000000000004</v>
      </c>
      <c r="H26" s="14" t="s">
        <v>3</v>
      </c>
      <c r="I26" s="1"/>
    </row>
    <row r="27" spans="1:9" x14ac:dyDescent="0.25">
      <c r="A27" s="1"/>
      <c r="B27" s="58" t="s">
        <v>288</v>
      </c>
      <c r="C27" s="47" t="s">
        <v>272</v>
      </c>
      <c r="D27" s="9">
        <v>93972.52</v>
      </c>
      <c r="E27" s="9">
        <f t="shared" si="0"/>
        <v>1252.9669333333334</v>
      </c>
      <c r="F27" s="9">
        <v>0</v>
      </c>
      <c r="G27" s="9">
        <v>1982.82</v>
      </c>
      <c r="H27" s="14" t="s">
        <v>3</v>
      </c>
      <c r="I27" s="1"/>
    </row>
    <row r="28" spans="1:9" ht="26.25" x14ac:dyDescent="0.25">
      <c r="A28" s="1"/>
      <c r="B28" s="58" t="s">
        <v>289</v>
      </c>
      <c r="C28" s="47" t="s">
        <v>285</v>
      </c>
      <c r="D28" s="9">
        <v>32471.89</v>
      </c>
      <c r="E28" s="9">
        <f t="shared" si="0"/>
        <v>1082.3963333333334</v>
      </c>
      <c r="F28" s="9">
        <v>0</v>
      </c>
      <c r="G28" s="9">
        <v>685.16</v>
      </c>
      <c r="H28" s="14" t="s">
        <v>3</v>
      </c>
      <c r="I28" s="1"/>
    </row>
    <row r="29" spans="1:9" ht="26.25" x14ac:dyDescent="0.25">
      <c r="A29" s="1"/>
      <c r="B29" s="58" t="s">
        <v>290</v>
      </c>
      <c r="C29" s="47" t="s">
        <v>272</v>
      </c>
      <c r="D29" s="9">
        <v>39615.1</v>
      </c>
      <c r="E29" s="9">
        <f t="shared" si="0"/>
        <v>528.20133333333331</v>
      </c>
      <c r="F29" s="9">
        <v>0</v>
      </c>
      <c r="G29" s="9">
        <v>835.88</v>
      </c>
      <c r="H29" s="14" t="s">
        <v>3</v>
      </c>
      <c r="I29" s="1"/>
    </row>
    <row r="30" spans="1:9" ht="26.25" x14ac:dyDescent="0.25">
      <c r="A30" s="1"/>
      <c r="B30" s="58" t="s">
        <v>291</v>
      </c>
      <c r="C30" s="47" t="s">
        <v>287</v>
      </c>
      <c r="D30" s="9">
        <v>25730.22</v>
      </c>
      <c r="E30" s="9">
        <f t="shared" si="0"/>
        <v>643.25549999999998</v>
      </c>
      <c r="F30" s="9">
        <v>0</v>
      </c>
      <c r="G30" s="9">
        <v>542.91</v>
      </c>
      <c r="H30" s="14" t="s">
        <v>3</v>
      </c>
      <c r="I30" s="1"/>
    </row>
    <row r="31" spans="1:9" ht="26.25" x14ac:dyDescent="0.25">
      <c r="A31" s="1"/>
      <c r="B31" s="58" t="s">
        <v>292</v>
      </c>
      <c r="C31" s="47" t="s">
        <v>285</v>
      </c>
      <c r="D31" s="9">
        <v>35823.82</v>
      </c>
      <c r="E31" s="9">
        <f t="shared" si="0"/>
        <v>1194.1273333333334</v>
      </c>
      <c r="F31" s="9">
        <v>0</v>
      </c>
      <c r="G31" s="9">
        <v>755.88</v>
      </c>
      <c r="H31" s="14" t="s">
        <v>3</v>
      </c>
      <c r="I31" s="1"/>
    </row>
    <row r="32" spans="1:9" ht="26.25" x14ac:dyDescent="0.25">
      <c r="A32" s="1"/>
      <c r="B32" s="58" t="s">
        <v>293</v>
      </c>
      <c r="C32" s="47" t="s">
        <v>294</v>
      </c>
      <c r="D32" s="9">
        <v>15628.81</v>
      </c>
      <c r="E32" s="9">
        <f t="shared" si="0"/>
        <v>312.57619999999997</v>
      </c>
      <c r="F32" s="9">
        <v>0</v>
      </c>
      <c r="G32" s="9">
        <v>329.77</v>
      </c>
      <c r="H32" s="14" t="s">
        <v>3</v>
      </c>
      <c r="I32" s="1"/>
    </row>
    <row r="33" spans="1:9" ht="26.25" x14ac:dyDescent="0.25">
      <c r="A33" s="1"/>
      <c r="B33" s="58" t="s">
        <v>295</v>
      </c>
      <c r="C33" s="47" t="s">
        <v>294</v>
      </c>
      <c r="D33" s="9">
        <v>12394.27</v>
      </c>
      <c r="E33" s="9">
        <f t="shared" si="0"/>
        <v>247.8854</v>
      </c>
      <c r="F33" s="9">
        <v>0</v>
      </c>
      <c r="G33" s="9">
        <v>261.52</v>
      </c>
      <c r="H33" s="14" t="s">
        <v>3</v>
      </c>
      <c r="I33" s="1"/>
    </row>
    <row r="34" spans="1:9" ht="26.25" x14ac:dyDescent="0.25">
      <c r="A34" s="1"/>
      <c r="B34" s="58" t="s">
        <v>296</v>
      </c>
      <c r="C34" s="47" t="s">
        <v>294</v>
      </c>
      <c r="D34" s="9">
        <v>9012.9500000000007</v>
      </c>
      <c r="E34" s="9">
        <f t="shared" si="0"/>
        <v>180.25900000000001</v>
      </c>
      <c r="F34" s="9">
        <v>0</v>
      </c>
      <c r="G34" s="9">
        <v>190.17</v>
      </c>
      <c r="H34" s="14" t="s">
        <v>3</v>
      </c>
      <c r="I34" s="1"/>
    </row>
    <row r="35" spans="1:9" ht="26.25" x14ac:dyDescent="0.25">
      <c r="A35" s="1"/>
      <c r="B35" s="58" t="s">
        <v>297</v>
      </c>
      <c r="C35" s="47" t="s">
        <v>294</v>
      </c>
      <c r="D35" s="9">
        <v>1711.97</v>
      </c>
      <c r="E35" s="9">
        <f t="shared" si="0"/>
        <v>34.239400000000003</v>
      </c>
      <c r="F35" s="9">
        <v>0</v>
      </c>
      <c r="G35" s="9">
        <v>36.119999999999997</v>
      </c>
      <c r="H35" s="14" t="s">
        <v>3</v>
      </c>
      <c r="I35" s="1"/>
    </row>
    <row r="36" spans="1:9" ht="26.25" x14ac:dyDescent="0.25">
      <c r="A36" s="1"/>
      <c r="B36" s="58" t="s">
        <v>298</v>
      </c>
      <c r="C36" s="47" t="s">
        <v>294</v>
      </c>
      <c r="D36" s="9">
        <v>1574.79</v>
      </c>
      <c r="E36" s="9">
        <f t="shared" si="0"/>
        <v>31.495799999999999</v>
      </c>
      <c r="F36" s="9">
        <v>0</v>
      </c>
      <c r="G36" s="9">
        <v>33.229999999999997</v>
      </c>
      <c r="H36" s="14" t="s">
        <v>3</v>
      </c>
      <c r="I36" s="1"/>
    </row>
    <row r="37" spans="1:9" ht="26.25" x14ac:dyDescent="0.25">
      <c r="A37" s="1"/>
      <c r="B37" s="58" t="s">
        <v>299</v>
      </c>
      <c r="C37" s="47" t="s">
        <v>294</v>
      </c>
      <c r="D37" s="9">
        <v>1574.79</v>
      </c>
      <c r="E37" s="9">
        <f t="shared" si="0"/>
        <v>31.495799999999999</v>
      </c>
      <c r="F37" s="9">
        <v>0</v>
      </c>
      <c r="G37" s="9">
        <v>33.229999999999997</v>
      </c>
      <c r="H37" s="14" t="s">
        <v>3</v>
      </c>
      <c r="I37" s="1"/>
    </row>
    <row r="38" spans="1:9" ht="26.25" x14ac:dyDescent="0.25">
      <c r="A38" s="1"/>
      <c r="B38" s="58" t="s">
        <v>300</v>
      </c>
      <c r="C38" s="47" t="s">
        <v>294</v>
      </c>
      <c r="D38" s="9">
        <v>2170.15</v>
      </c>
      <c r="E38" s="9">
        <f t="shared" si="0"/>
        <v>43.402999999999999</v>
      </c>
      <c r="F38" s="9">
        <v>0</v>
      </c>
      <c r="G38" s="9">
        <v>45.79</v>
      </c>
      <c r="H38" s="14" t="s">
        <v>3</v>
      </c>
      <c r="I38" s="1"/>
    </row>
    <row r="39" spans="1:9" ht="26.25" x14ac:dyDescent="0.25">
      <c r="A39" s="1"/>
      <c r="B39" s="58" t="s">
        <v>301</v>
      </c>
      <c r="C39" s="47" t="s">
        <v>276</v>
      </c>
      <c r="D39" s="9">
        <v>53492.36</v>
      </c>
      <c r="E39" s="9">
        <f t="shared" si="0"/>
        <v>2674.6179999999999</v>
      </c>
      <c r="F39" s="9">
        <v>0</v>
      </c>
      <c r="G39" s="9">
        <v>1128.69</v>
      </c>
      <c r="H39" s="14" t="s">
        <v>3</v>
      </c>
      <c r="I39" s="1"/>
    </row>
    <row r="40" spans="1:9" ht="26.25" x14ac:dyDescent="0.25">
      <c r="A40" s="1"/>
      <c r="B40" s="58" t="s">
        <v>302</v>
      </c>
      <c r="C40" s="47" t="s">
        <v>276</v>
      </c>
      <c r="D40" s="9">
        <v>5261.6</v>
      </c>
      <c r="E40" s="9">
        <f t="shared" si="0"/>
        <v>263.08000000000004</v>
      </c>
      <c r="F40" s="9">
        <v>0</v>
      </c>
      <c r="G40" s="9">
        <v>111.02</v>
      </c>
      <c r="H40" s="14" t="s">
        <v>3</v>
      </c>
      <c r="I40" s="1"/>
    </row>
    <row r="41" spans="1:9" ht="26.25" x14ac:dyDescent="0.25">
      <c r="A41" s="1"/>
      <c r="B41" s="58" t="s">
        <v>303</v>
      </c>
      <c r="C41" s="47" t="s">
        <v>276</v>
      </c>
      <c r="D41" s="9">
        <v>47676.22</v>
      </c>
      <c r="E41" s="9">
        <f t="shared" si="0"/>
        <v>2383.8110000000001</v>
      </c>
      <c r="F41" s="9">
        <v>0</v>
      </c>
      <c r="G41" s="9">
        <v>1005.97</v>
      </c>
      <c r="H41" s="14" t="s">
        <v>3</v>
      </c>
      <c r="I41" s="1"/>
    </row>
    <row r="42" spans="1:9" ht="26.25" x14ac:dyDescent="0.25">
      <c r="A42" s="1"/>
      <c r="B42" s="58" t="s">
        <v>304</v>
      </c>
      <c r="C42" s="47" t="s">
        <v>276</v>
      </c>
      <c r="D42" s="9">
        <v>8916.57</v>
      </c>
      <c r="E42" s="9">
        <f t="shared" si="0"/>
        <v>445.82849999999996</v>
      </c>
      <c r="F42" s="9">
        <v>0</v>
      </c>
      <c r="G42" s="9">
        <v>188.14</v>
      </c>
      <c r="H42" s="14" t="s">
        <v>3</v>
      </c>
      <c r="I42" s="1"/>
    </row>
    <row r="43" spans="1:9" ht="26.25" x14ac:dyDescent="0.25">
      <c r="A43" s="1"/>
      <c r="B43" s="58" t="s">
        <v>305</v>
      </c>
      <c r="C43" s="47" t="s">
        <v>276</v>
      </c>
      <c r="D43" s="9">
        <v>27614.57</v>
      </c>
      <c r="E43" s="9">
        <f t="shared" si="0"/>
        <v>1380.7284999999999</v>
      </c>
      <c r="F43" s="9">
        <v>0</v>
      </c>
      <c r="G43" s="9">
        <v>582.66999999999996</v>
      </c>
      <c r="H43" s="14" t="s">
        <v>3</v>
      </c>
      <c r="I43" s="1"/>
    </row>
    <row r="44" spans="1:9" ht="26.25" x14ac:dyDescent="0.25">
      <c r="A44" s="1"/>
      <c r="B44" s="58" t="s">
        <v>306</v>
      </c>
      <c r="C44" s="47" t="s">
        <v>276</v>
      </c>
      <c r="D44" s="9">
        <v>9606.7099999999991</v>
      </c>
      <c r="E44" s="9">
        <f t="shared" si="0"/>
        <v>480.33549999999997</v>
      </c>
      <c r="F44" s="9">
        <v>0</v>
      </c>
      <c r="G44" s="9">
        <v>202.7</v>
      </c>
      <c r="H44" s="14" t="s">
        <v>3</v>
      </c>
      <c r="I44" s="1"/>
    </row>
    <row r="45" spans="1:9" ht="26.25" x14ac:dyDescent="0.25">
      <c r="A45" s="1"/>
      <c r="B45" s="58" t="s">
        <v>307</v>
      </c>
      <c r="C45" s="47" t="s">
        <v>287</v>
      </c>
      <c r="D45" s="9">
        <v>5175.7700000000004</v>
      </c>
      <c r="E45" s="9">
        <f t="shared" si="0"/>
        <v>129.39425</v>
      </c>
      <c r="F45" s="9">
        <v>0</v>
      </c>
      <c r="G45" s="9">
        <v>109.21</v>
      </c>
      <c r="H45" s="14" t="s">
        <v>3</v>
      </c>
      <c r="I45" s="1"/>
    </row>
    <row r="46" spans="1:9" ht="26.25" x14ac:dyDescent="0.25">
      <c r="A46" s="1"/>
      <c r="B46" s="58" t="s">
        <v>308</v>
      </c>
      <c r="C46" s="47" t="s">
        <v>276</v>
      </c>
      <c r="D46" s="9">
        <v>219580.86</v>
      </c>
      <c r="E46" s="9">
        <f t="shared" si="0"/>
        <v>10979.043</v>
      </c>
      <c r="F46" s="9">
        <v>0</v>
      </c>
      <c r="G46" s="9">
        <v>4633.16</v>
      </c>
      <c r="H46" s="14" t="s">
        <v>3</v>
      </c>
      <c r="I46" s="1"/>
    </row>
    <row r="47" spans="1:9" ht="26.25" x14ac:dyDescent="0.25">
      <c r="A47" s="1"/>
      <c r="B47" s="58" t="s">
        <v>309</v>
      </c>
      <c r="C47" s="47" t="s">
        <v>285</v>
      </c>
      <c r="D47" s="9">
        <v>6134.66</v>
      </c>
      <c r="E47" s="9">
        <f t="shared" si="0"/>
        <v>204.48866666666666</v>
      </c>
      <c r="F47" s="9">
        <v>0</v>
      </c>
      <c r="G47" s="9">
        <v>129.44</v>
      </c>
      <c r="H47" s="14" t="s">
        <v>3</v>
      </c>
      <c r="I47" s="1"/>
    </row>
    <row r="48" spans="1:9" ht="26.25" x14ac:dyDescent="0.25">
      <c r="A48" s="1"/>
      <c r="B48" s="58" t="s">
        <v>310</v>
      </c>
      <c r="C48" s="47" t="s">
        <v>287</v>
      </c>
      <c r="D48" s="9">
        <v>11752.12</v>
      </c>
      <c r="E48" s="9">
        <f t="shared" si="0"/>
        <v>293.803</v>
      </c>
      <c r="F48" s="9">
        <v>0</v>
      </c>
      <c r="G48" s="9">
        <v>247.97</v>
      </c>
      <c r="H48" s="14" t="s">
        <v>3</v>
      </c>
      <c r="I48" s="1"/>
    </row>
    <row r="49" spans="1:9" ht="26.25" x14ac:dyDescent="0.25">
      <c r="A49" s="1"/>
      <c r="B49" s="58" t="s">
        <v>311</v>
      </c>
      <c r="C49" s="47" t="s">
        <v>278</v>
      </c>
      <c r="D49" s="9">
        <v>7725.05</v>
      </c>
      <c r="E49" s="9">
        <f t="shared" si="0"/>
        <v>772.505</v>
      </c>
      <c r="F49" s="9">
        <v>0</v>
      </c>
      <c r="G49" s="9">
        <v>163</v>
      </c>
      <c r="H49" s="14" t="s">
        <v>3</v>
      </c>
      <c r="I49" s="1"/>
    </row>
    <row r="50" spans="1:9" x14ac:dyDescent="0.25">
      <c r="A50" s="1"/>
      <c r="B50" s="58" t="s">
        <v>288</v>
      </c>
      <c r="C50" s="47" t="s">
        <v>272</v>
      </c>
      <c r="D50" s="9">
        <v>778409.6</v>
      </c>
      <c r="E50" s="9">
        <f t="shared" si="0"/>
        <v>10378.794666666667</v>
      </c>
      <c r="F50" s="9">
        <v>0</v>
      </c>
      <c r="G50" s="9">
        <v>16424.439999999999</v>
      </c>
      <c r="H50" s="14" t="s">
        <v>3</v>
      </c>
      <c r="I50" s="1"/>
    </row>
    <row r="51" spans="1:9" x14ac:dyDescent="0.25">
      <c r="A51" s="1"/>
      <c r="B51" s="58" t="s">
        <v>288</v>
      </c>
      <c r="C51" s="47" t="s">
        <v>272</v>
      </c>
      <c r="D51" s="9">
        <v>100644.73</v>
      </c>
      <c r="E51" s="9">
        <f t="shared" si="0"/>
        <v>1341.9297333333334</v>
      </c>
      <c r="F51" s="9">
        <v>0</v>
      </c>
      <c r="G51" s="9">
        <v>2123.6</v>
      </c>
      <c r="H51" s="14" t="s">
        <v>3</v>
      </c>
      <c r="I51" s="1"/>
    </row>
    <row r="52" spans="1:9" x14ac:dyDescent="0.25">
      <c r="A52" s="1"/>
      <c r="B52" s="58" t="s">
        <v>312</v>
      </c>
      <c r="C52" s="47" t="s">
        <v>285</v>
      </c>
      <c r="D52" s="9">
        <v>345709.6</v>
      </c>
      <c r="E52" s="9">
        <f t="shared" si="0"/>
        <v>11523.653333333332</v>
      </c>
      <c r="F52" s="9">
        <v>0</v>
      </c>
      <c r="G52" s="9">
        <v>7294.47</v>
      </c>
      <c r="H52" s="14" t="s">
        <v>3</v>
      </c>
      <c r="I52" s="1"/>
    </row>
    <row r="53" spans="1:9" x14ac:dyDescent="0.25">
      <c r="A53" s="1"/>
      <c r="B53" s="58" t="s">
        <v>313</v>
      </c>
      <c r="C53" s="47" t="s">
        <v>285</v>
      </c>
      <c r="D53" s="9">
        <v>127186.27</v>
      </c>
      <c r="E53" s="9">
        <f t="shared" si="0"/>
        <v>4239.5423333333338</v>
      </c>
      <c r="F53" s="9">
        <v>0</v>
      </c>
      <c r="G53" s="9">
        <v>2683.63</v>
      </c>
      <c r="H53" s="14" t="s">
        <v>3</v>
      </c>
      <c r="I53" s="1"/>
    </row>
    <row r="54" spans="1:9" x14ac:dyDescent="0.25">
      <c r="A54" s="1"/>
      <c r="B54" s="58" t="s">
        <v>314</v>
      </c>
      <c r="C54" s="47" t="s">
        <v>315</v>
      </c>
      <c r="D54" s="9">
        <v>22163</v>
      </c>
      <c r="E54" s="9">
        <f t="shared" si="0"/>
        <v>1477.5333333333333</v>
      </c>
      <c r="F54" s="9">
        <v>0</v>
      </c>
      <c r="G54" s="9">
        <v>467.64</v>
      </c>
      <c r="H54" s="14" t="s">
        <v>3</v>
      </c>
      <c r="I54" s="1"/>
    </row>
    <row r="55" spans="1:9" x14ac:dyDescent="0.25">
      <c r="A55" s="1"/>
      <c r="B55" s="58" t="s">
        <v>316</v>
      </c>
      <c r="C55" s="47" t="s">
        <v>285</v>
      </c>
      <c r="D55" s="9">
        <v>58497.72</v>
      </c>
      <c r="E55" s="9">
        <f t="shared" si="0"/>
        <v>1949.924</v>
      </c>
      <c r="F55" s="9">
        <v>0</v>
      </c>
      <c r="G55" s="9">
        <v>1234.3</v>
      </c>
      <c r="H55" s="14" t="s">
        <v>3</v>
      </c>
      <c r="I55" s="1"/>
    </row>
    <row r="56" spans="1:9" ht="26.25" x14ac:dyDescent="0.25">
      <c r="A56" s="1"/>
      <c r="B56" s="58" t="s">
        <v>317</v>
      </c>
      <c r="C56" s="47" t="s">
        <v>285</v>
      </c>
      <c r="D56" s="9">
        <v>120532.51</v>
      </c>
      <c r="E56" s="9">
        <f t="shared" si="0"/>
        <v>4017.7503333333329</v>
      </c>
      <c r="F56" s="9">
        <v>0</v>
      </c>
      <c r="G56" s="9">
        <v>2543.2399999999998</v>
      </c>
      <c r="H56" s="14" t="s">
        <v>3</v>
      </c>
      <c r="I56" s="1"/>
    </row>
    <row r="57" spans="1:9" x14ac:dyDescent="0.25">
      <c r="A57" s="1"/>
      <c r="B57" s="58" t="s">
        <v>318</v>
      </c>
      <c r="C57" s="47" t="s">
        <v>276</v>
      </c>
      <c r="D57" s="9">
        <v>64450.2</v>
      </c>
      <c r="E57" s="9">
        <f t="shared" si="0"/>
        <v>3222.5099999999998</v>
      </c>
      <c r="F57" s="9">
        <v>0</v>
      </c>
      <c r="G57" s="9">
        <v>1359.9</v>
      </c>
      <c r="H57" s="14" t="s">
        <v>3</v>
      </c>
      <c r="I57" s="1"/>
    </row>
    <row r="58" spans="1:9" x14ac:dyDescent="0.25">
      <c r="A58" s="1"/>
      <c r="B58" s="58" t="s">
        <v>319</v>
      </c>
      <c r="C58" s="47" t="s">
        <v>285</v>
      </c>
      <c r="D58" s="9">
        <v>47179.61</v>
      </c>
      <c r="E58" s="9">
        <f t="shared" si="0"/>
        <v>1572.6536666666666</v>
      </c>
      <c r="F58" s="9">
        <v>0</v>
      </c>
      <c r="G58" s="9">
        <v>995.49</v>
      </c>
      <c r="H58" s="14" t="s">
        <v>3</v>
      </c>
      <c r="I58" s="1"/>
    </row>
    <row r="59" spans="1:9" x14ac:dyDescent="0.25">
      <c r="A59" s="1"/>
      <c r="B59" s="58" t="s">
        <v>320</v>
      </c>
      <c r="C59" s="47" t="s">
        <v>285</v>
      </c>
      <c r="D59" s="9">
        <v>180266.19</v>
      </c>
      <c r="E59" s="9">
        <f t="shared" si="0"/>
        <v>6008.8730000000005</v>
      </c>
      <c r="F59" s="9">
        <v>0</v>
      </c>
      <c r="G59" s="9">
        <v>3803.62</v>
      </c>
      <c r="H59" s="14" t="s">
        <v>3</v>
      </c>
      <c r="I59" s="1"/>
    </row>
    <row r="60" spans="1:9" x14ac:dyDescent="0.25">
      <c r="A60" s="1"/>
      <c r="B60" s="58" t="s">
        <v>321</v>
      </c>
      <c r="C60" s="47" t="s">
        <v>285</v>
      </c>
      <c r="D60" s="9">
        <v>268763.02</v>
      </c>
      <c r="E60" s="9">
        <f t="shared" si="0"/>
        <v>8958.7673333333332</v>
      </c>
      <c r="F60" s="9">
        <v>0</v>
      </c>
      <c r="G60" s="9">
        <v>5670.9</v>
      </c>
      <c r="H60" s="14" t="s">
        <v>3</v>
      </c>
      <c r="I60" s="1"/>
    </row>
    <row r="61" spans="1:9" ht="26.25" x14ac:dyDescent="0.25">
      <c r="A61" s="1"/>
      <c r="B61" s="58" t="s">
        <v>322</v>
      </c>
      <c r="C61" s="47" t="s">
        <v>285</v>
      </c>
      <c r="D61" s="9">
        <v>157889.26999999999</v>
      </c>
      <c r="E61" s="9">
        <f t="shared" si="0"/>
        <v>5262.9756666666663</v>
      </c>
      <c r="F61" s="9">
        <v>0</v>
      </c>
      <c r="G61" s="9">
        <v>3331.46</v>
      </c>
      <c r="H61" s="14" t="s">
        <v>3</v>
      </c>
      <c r="I61" s="1"/>
    </row>
    <row r="62" spans="1:9" ht="26.25" x14ac:dyDescent="0.25">
      <c r="A62" s="1"/>
      <c r="B62" s="58" t="s">
        <v>323</v>
      </c>
      <c r="C62" s="47" t="s">
        <v>278</v>
      </c>
      <c r="D62" s="9">
        <v>27632.639999999999</v>
      </c>
      <c r="E62" s="9">
        <f t="shared" si="0"/>
        <v>2763.2640000000001</v>
      </c>
      <c r="F62" s="9">
        <v>0</v>
      </c>
      <c r="G62" s="9">
        <v>583.04999999999995</v>
      </c>
      <c r="H62" s="14" t="s">
        <v>3</v>
      </c>
      <c r="I62" s="1"/>
    </row>
    <row r="63" spans="1:9" ht="26.25" x14ac:dyDescent="0.25">
      <c r="A63" s="1"/>
      <c r="B63" s="58" t="s">
        <v>324</v>
      </c>
      <c r="C63" s="47" t="s">
        <v>287</v>
      </c>
      <c r="D63" s="9">
        <v>215428.83</v>
      </c>
      <c r="E63" s="9">
        <f t="shared" si="0"/>
        <v>5385.7207499999995</v>
      </c>
      <c r="F63" s="9">
        <v>0</v>
      </c>
      <c r="G63" s="9">
        <v>4545.55</v>
      </c>
      <c r="H63" s="14" t="s">
        <v>3</v>
      </c>
      <c r="I63" s="1"/>
    </row>
    <row r="64" spans="1:9" x14ac:dyDescent="0.25">
      <c r="A64" s="1"/>
      <c r="B64" s="58" t="s">
        <v>325</v>
      </c>
      <c r="C64" s="47" t="s">
        <v>278</v>
      </c>
      <c r="D64" s="9">
        <v>25714.29</v>
      </c>
      <c r="E64" s="9">
        <f t="shared" si="0"/>
        <v>2571.4290000000001</v>
      </c>
      <c r="F64" s="9">
        <v>0</v>
      </c>
      <c r="G64" s="9">
        <v>542.57000000000005</v>
      </c>
      <c r="H64" s="14" t="s">
        <v>3</v>
      </c>
      <c r="I64" s="1"/>
    </row>
    <row r="65" spans="1:9" ht="26.25" x14ac:dyDescent="0.25">
      <c r="A65" s="1"/>
      <c r="B65" s="58" t="s">
        <v>326</v>
      </c>
      <c r="C65" s="47" t="s">
        <v>285</v>
      </c>
      <c r="D65" s="9">
        <v>263261.38</v>
      </c>
      <c r="E65" s="9">
        <f t="shared" si="0"/>
        <v>8775.3793333333342</v>
      </c>
      <c r="F65" s="9">
        <v>0</v>
      </c>
      <c r="G65" s="9">
        <v>5554.82</v>
      </c>
      <c r="H65" s="14" t="s">
        <v>3</v>
      </c>
      <c r="I65" s="1"/>
    </row>
    <row r="66" spans="1:9" x14ac:dyDescent="0.25">
      <c r="A66" s="1"/>
      <c r="B66" s="58" t="s">
        <v>288</v>
      </c>
      <c r="C66" s="47" t="s">
        <v>272</v>
      </c>
      <c r="D66" s="9">
        <v>49943.85</v>
      </c>
      <c r="E66" s="9">
        <f t="shared" si="0"/>
        <v>665.91800000000001</v>
      </c>
      <c r="F66" s="9">
        <v>0</v>
      </c>
      <c r="G66" s="9">
        <v>1053.82</v>
      </c>
      <c r="H66" s="14" t="s">
        <v>3</v>
      </c>
      <c r="I66" s="1"/>
    </row>
    <row r="67" spans="1:9" ht="26.25" x14ac:dyDescent="0.25">
      <c r="A67" s="1"/>
      <c r="B67" s="58" t="s">
        <v>327</v>
      </c>
      <c r="C67" s="47" t="s">
        <v>328</v>
      </c>
      <c r="D67" s="9">
        <v>7550655.1600000001</v>
      </c>
      <c r="E67" s="9">
        <f t="shared" si="0"/>
        <v>125844.25266666667</v>
      </c>
      <c r="F67" s="9">
        <v>0</v>
      </c>
      <c r="G67" s="9">
        <v>159319.03</v>
      </c>
      <c r="H67" s="14" t="s">
        <v>3</v>
      </c>
      <c r="I67" s="1"/>
    </row>
    <row r="68" spans="1:9" x14ac:dyDescent="0.25">
      <c r="A68" s="1"/>
      <c r="B68" s="58" t="s">
        <v>329</v>
      </c>
      <c r="C68" s="47" t="s">
        <v>276</v>
      </c>
      <c r="D68" s="9">
        <v>7835698.5</v>
      </c>
      <c r="E68" s="9">
        <f t="shared" si="0"/>
        <v>391784.92499999999</v>
      </c>
      <c r="F68" s="9">
        <v>0</v>
      </c>
      <c r="G68" s="9">
        <v>165333.24</v>
      </c>
      <c r="H68" s="14" t="s">
        <v>3</v>
      </c>
      <c r="I68" s="1"/>
    </row>
    <row r="69" spans="1:9" ht="39" x14ac:dyDescent="0.25">
      <c r="A69" s="1"/>
      <c r="B69" s="58" t="s">
        <v>330</v>
      </c>
      <c r="C69" s="47" t="s">
        <v>328</v>
      </c>
      <c r="D69" s="9">
        <v>1699509.39</v>
      </c>
      <c r="E69" s="9">
        <f t="shared" si="0"/>
        <v>28325.156499999997</v>
      </c>
      <c r="F69" s="9">
        <v>0</v>
      </c>
      <c r="G69" s="9">
        <v>35859.65</v>
      </c>
      <c r="H69" s="14" t="s">
        <v>3</v>
      </c>
      <c r="I69" s="1"/>
    </row>
    <row r="70" spans="1:9" ht="39" x14ac:dyDescent="0.25">
      <c r="A70" s="1"/>
      <c r="B70" s="58" t="s">
        <v>331</v>
      </c>
      <c r="C70" s="47" t="s">
        <v>276</v>
      </c>
      <c r="D70" s="9">
        <v>2779870.69</v>
      </c>
      <c r="E70" s="9">
        <f t="shared" si="0"/>
        <v>138993.53450000001</v>
      </c>
      <c r="F70" s="9">
        <v>0</v>
      </c>
      <c r="G70" s="9">
        <v>58655.27</v>
      </c>
      <c r="H70" s="14" t="s">
        <v>3</v>
      </c>
      <c r="I70" s="1"/>
    </row>
    <row r="71" spans="1:9" ht="26.25" x14ac:dyDescent="0.25">
      <c r="A71" s="1"/>
      <c r="B71" s="58" t="s">
        <v>332</v>
      </c>
      <c r="C71" s="47" t="s">
        <v>328</v>
      </c>
      <c r="D71" s="9">
        <v>5271532.7300000004</v>
      </c>
      <c r="E71" s="9">
        <f t="shared" si="0"/>
        <v>87858.878833333336</v>
      </c>
      <c r="F71" s="9">
        <v>0</v>
      </c>
      <c r="G71" s="9">
        <v>111229.34</v>
      </c>
      <c r="H71" s="14" t="s">
        <v>3</v>
      </c>
      <c r="I71" s="1"/>
    </row>
    <row r="72" spans="1:9" x14ac:dyDescent="0.25">
      <c r="A72" s="1"/>
      <c r="B72" s="58" t="s">
        <v>333</v>
      </c>
      <c r="C72" s="47" t="s">
        <v>276</v>
      </c>
      <c r="D72" s="9">
        <v>4551834.67</v>
      </c>
      <c r="E72" s="9">
        <f t="shared" si="0"/>
        <v>227591.7335</v>
      </c>
      <c r="F72" s="9">
        <v>0</v>
      </c>
      <c r="G72" s="9">
        <v>96043.71</v>
      </c>
      <c r="H72" s="14" t="s">
        <v>3</v>
      </c>
      <c r="I72" s="1"/>
    </row>
    <row r="73" spans="1:9" x14ac:dyDescent="0.25">
      <c r="A73" s="1"/>
      <c r="B73" s="58" t="s">
        <v>334</v>
      </c>
      <c r="C73" s="47" t="s">
        <v>328</v>
      </c>
      <c r="D73" s="9">
        <v>2056384.84</v>
      </c>
      <c r="E73" s="9">
        <f t="shared" si="0"/>
        <v>34273.080666666669</v>
      </c>
      <c r="F73" s="9">
        <v>0</v>
      </c>
      <c r="G73" s="9">
        <v>43389.72</v>
      </c>
      <c r="H73" s="14" t="s">
        <v>3</v>
      </c>
      <c r="I73" s="1"/>
    </row>
    <row r="74" spans="1:9" x14ac:dyDescent="0.25">
      <c r="A74" s="1"/>
      <c r="B74" s="58" t="s">
        <v>335</v>
      </c>
      <c r="C74" s="47" t="s">
        <v>276</v>
      </c>
      <c r="D74" s="9">
        <v>9790423.4199999999</v>
      </c>
      <c r="E74" s="9">
        <f t="shared" si="0"/>
        <v>489521.17099999997</v>
      </c>
      <c r="F74" s="9">
        <v>0</v>
      </c>
      <c r="G74" s="9">
        <v>206577.93</v>
      </c>
      <c r="H74" s="14" t="s">
        <v>3</v>
      </c>
      <c r="I74" s="1"/>
    </row>
    <row r="75" spans="1:9" ht="39" x14ac:dyDescent="0.25">
      <c r="A75" s="1"/>
      <c r="B75" s="58" t="s">
        <v>336</v>
      </c>
      <c r="C75" s="47" t="s">
        <v>328</v>
      </c>
      <c r="D75" s="9">
        <v>316248.53000000003</v>
      </c>
      <c r="E75" s="9">
        <f t="shared" ref="E75:E118" si="1">IFERROR(D75/C75,0)</f>
        <v>5270.8088333333335</v>
      </c>
      <c r="F75" s="9">
        <v>0</v>
      </c>
      <c r="G75" s="9">
        <v>6672.84</v>
      </c>
      <c r="H75" s="14" t="s">
        <v>3</v>
      </c>
      <c r="I75" s="1"/>
    </row>
    <row r="76" spans="1:9" ht="39" x14ac:dyDescent="0.25">
      <c r="A76" s="1"/>
      <c r="B76" s="58" t="s">
        <v>337</v>
      </c>
      <c r="C76" s="47" t="s">
        <v>276</v>
      </c>
      <c r="D76" s="9">
        <v>698818.03</v>
      </c>
      <c r="E76" s="9">
        <f t="shared" si="1"/>
        <v>34940.9015</v>
      </c>
      <c r="F76" s="9">
        <v>0</v>
      </c>
      <c r="G76" s="9">
        <v>14745.06</v>
      </c>
      <c r="H76" s="14" t="s">
        <v>3</v>
      </c>
      <c r="I76" s="1"/>
    </row>
    <row r="77" spans="1:9" ht="26.25" x14ac:dyDescent="0.25">
      <c r="A77" s="1"/>
      <c r="B77" s="58" t="s">
        <v>338</v>
      </c>
      <c r="C77" s="47" t="s">
        <v>328</v>
      </c>
      <c r="D77" s="9">
        <v>1474404.79</v>
      </c>
      <c r="E77" s="9">
        <f t="shared" si="1"/>
        <v>24573.413166666669</v>
      </c>
      <c r="F77" s="9">
        <v>0</v>
      </c>
      <c r="G77" s="9">
        <v>31109.94</v>
      </c>
      <c r="H77" s="14" t="s">
        <v>3</v>
      </c>
      <c r="I77" s="1"/>
    </row>
    <row r="78" spans="1:9" ht="26.25" x14ac:dyDescent="0.25">
      <c r="A78" s="1"/>
      <c r="B78" s="58" t="s">
        <v>339</v>
      </c>
      <c r="C78" s="47" t="s">
        <v>276</v>
      </c>
      <c r="D78" s="9">
        <v>2204297.56</v>
      </c>
      <c r="E78" s="9">
        <f t="shared" si="1"/>
        <v>110214.878</v>
      </c>
      <c r="F78" s="9">
        <v>0</v>
      </c>
      <c r="G78" s="9">
        <v>46510.68</v>
      </c>
      <c r="H78" s="14" t="s">
        <v>3</v>
      </c>
      <c r="I78" s="1"/>
    </row>
    <row r="79" spans="1:9" ht="26.25" x14ac:dyDescent="0.25">
      <c r="A79" s="1"/>
      <c r="B79" s="58" t="s">
        <v>340</v>
      </c>
      <c r="C79" s="47" t="s">
        <v>328</v>
      </c>
      <c r="D79" s="9">
        <v>68049816.060000002</v>
      </c>
      <c r="E79" s="9">
        <f t="shared" si="1"/>
        <v>1134163.601</v>
      </c>
      <c r="F79" s="9">
        <v>0</v>
      </c>
      <c r="G79" s="9">
        <v>1435851.12</v>
      </c>
      <c r="H79" s="14" t="s">
        <v>3</v>
      </c>
      <c r="I79" s="1"/>
    </row>
    <row r="80" spans="1:9" x14ac:dyDescent="0.25">
      <c r="A80" s="1"/>
      <c r="B80" s="58" t="s">
        <v>341</v>
      </c>
      <c r="C80" s="47" t="s">
        <v>276</v>
      </c>
      <c r="D80" s="9">
        <v>32793899.780000001</v>
      </c>
      <c r="E80" s="9">
        <f t="shared" si="1"/>
        <v>1639694.9890000001</v>
      </c>
      <c r="F80" s="9">
        <v>0</v>
      </c>
      <c r="G80" s="9">
        <v>691951.29</v>
      </c>
      <c r="H80" s="14" t="s">
        <v>3</v>
      </c>
      <c r="I80" s="1"/>
    </row>
    <row r="81" spans="1:9" ht="39" x14ac:dyDescent="0.25">
      <c r="A81" s="1"/>
      <c r="B81" s="58" t="s">
        <v>342</v>
      </c>
      <c r="C81" s="47" t="s">
        <v>328</v>
      </c>
      <c r="D81" s="9">
        <v>2054017</v>
      </c>
      <c r="E81" s="9">
        <f t="shared" si="1"/>
        <v>34233.616666666669</v>
      </c>
      <c r="F81" s="9">
        <v>0</v>
      </c>
      <c r="G81" s="9">
        <v>43339.76</v>
      </c>
      <c r="H81" s="14" t="s">
        <v>3</v>
      </c>
      <c r="I81" s="1"/>
    </row>
    <row r="82" spans="1:9" ht="26.25" x14ac:dyDescent="0.25">
      <c r="A82" s="1"/>
      <c r="B82" s="58" t="s">
        <v>343</v>
      </c>
      <c r="C82" s="47" t="s">
        <v>276</v>
      </c>
      <c r="D82" s="9">
        <v>978803.61</v>
      </c>
      <c r="E82" s="9">
        <f t="shared" si="1"/>
        <v>48940.180500000002</v>
      </c>
      <c r="F82" s="9">
        <v>0</v>
      </c>
      <c r="G82" s="9">
        <v>20652.759999999998</v>
      </c>
      <c r="H82" s="14" t="s">
        <v>3</v>
      </c>
      <c r="I82" s="1"/>
    </row>
    <row r="83" spans="1:9" ht="26.25" x14ac:dyDescent="0.25">
      <c r="A83" s="1"/>
      <c r="B83" s="58" t="s">
        <v>344</v>
      </c>
      <c r="C83" s="47" t="s">
        <v>328</v>
      </c>
      <c r="D83" s="9">
        <v>42242854.759999998</v>
      </c>
      <c r="E83" s="9">
        <f t="shared" si="1"/>
        <v>704047.5793333333</v>
      </c>
      <c r="F83" s="9">
        <v>0</v>
      </c>
      <c r="G83" s="9">
        <v>891324.24</v>
      </c>
      <c r="H83" s="14" t="s">
        <v>3</v>
      </c>
      <c r="I83" s="1"/>
    </row>
    <row r="84" spans="1:9" x14ac:dyDescent="0.25">
      <c r="A84" s="1"/>
      <c r="B84" s="58" t="s">
        <v>345</v>
      </c>
      <c r="C84" s="47" t="s">
        <v>276</v>
      </c>
      <c r="D84" s="9">
        <v>6399712.4299999997</v>
      </c>
      <c r="E84" s="9">
        <f t="shared" si="1"/>
        <v>319985.62150000001</v>
      </c>
      <c r="F84" s="9">
        <v>0</v>
      </c>
      <c r="G84" s="9">
        <v>135033.93</v>
      </c>
      <c r="H84" s="14" t="s">
        <v>3</v>
      </c>
      <c r="I84" s="1"/>
    </row>
    <row r="85" spans="1:9" ht="26.25" x14ac:dyDescent="0.25">
      <c r="A85" s="1"/>
      <c r="B85" s="58" t="s">
        <v>346</v>
      </c>
      <c r="C85" s="47" t="s">
        <v>328</v>
      </c>
      <c r="D85" s="9">
        <v>5535583.2800000003</v>
      </c>
      <c r="E85" s="9">
        <f t="shared" si="1"/>
        <v>92259.721333333335</v>
      </c>
      <c r="F85" s="9">
        <v>0</v>
      </c>
      <c r="G85" s="9">
        <v>116800.81</v>
      </c>
      <c r="H85" s="14" t="s">
        <v>3</v>
      </c>
      <c r="I85" s="1"/>
    </row>
    <row r="86" spans="1:9" ht="26.25" x14ac:dyDescent="0.25">
      <c r="A86" s="1"/>
      <c r="B86" s="58" t="s">
        <v>347</v>
      </c>
      <c r="C86" s="47" t="s">
        <v>276</v>
      </c>
      <c r="D86" s="9">
        <v>9907402.3800000008</v>
      </c>
      <c r="E86" s="9">
        <f t="shared" si="1"/>
        <v>495370.11900000006</v>
      </c>
      <c r="F86" s="9">
        <v>0</v>
      </c>
      <c r="G86" s="9">
        <v>209046.19</v>
      </c>
      <c r="H86" s="14" t="s">
        <v>3</v>
      </c>
      <c r="I86" s="1"/>
    </row>
    <row r="87" spans="1:9" ht="26.25" x14ac:dyDescent="0.25">
      <c r="A87" s="1"/>
      <c r="B87" s="58" t="s">
        <v>348</v>
      </c>
      <c r="C87" s="47" t="s">
        <v>278</v>
      </c>
      <c r="D87" s="9">
        <v>3812305.55</v>
      </c>
      <c r="E87" s="9">
        <f t="shared" si="1"/>
        <v>381230.55499999999</v>
      </c>
      <c r="F87" s="9">
        <v>0</v>
      </c>
      <c r="G87" s="9">
        <v>80439.649999999994</v>
      </c>
      <c r="H87" s="14" t="s">
        <v>3</v>
      </c>
      <c r="I87" s="1"/>
    </row>
    <row r="88" spans="1:9" ht="26.25" x14ac:dyDescent="0.25">
      <c r="A88" s="1"/>
      <c r="B88" s="58" t="s">
        <v>349</v>
      </c>
      <c r="C88" s="47" t="s">
        <v>328</v>
      </c>
      <c r="D88" s="9">
        <v>1126513.79</v>
      </c>
      <c r="E88" s="9">
        <f t="shared" si="1"/>
        <v>18775.229833333335</v>
      </c>
      <c r="F88" s="9">
        <v>0</v>
      </c>
      <c r="G88" s="9">
        <v>23769.439999999999</v>
      </c>
      <c r="H88" s="14" t="s">
        <v>3</v>
      </c>
      <c r="I88" s="1"/>
    </row>
    <row r="89" spans="1:9" ht="39" x14ac:dyDescent="0.25">
      <c r="A89" s="1"/>
      <c r="B89" s="58" t="s">
        <v>350</v>
      </c>
      <c r="C89" s="47" t="s">
        <v>328</v>
      </c>
      <c r="D89" s="9">
        <v>1609137.74</v>
      </c>
      <c r="E89" s="9">
        <f t="shared" si="1"/>
        <v>26818.962333333333</v>
      </c>
      <c r="F89" s="9">
        <v>0</v>
      </c>
      <c r="G89" s="9">
        <v>33952.81</v>
      </c>
      <c r="H89" s="14" t="s">
        <v>3</v>
      </c>
      <c r="I89" s="1"/>
    </row>
    <row r="90" spans="1:9" ht="39" x14ac:dyDescent="0.25">
      <c r="A90" s="1"/>
      <c r="B90" s="58" t="s">
        <v>351</v>
      </c>
      <c r="C90" s="47" t="s">
        <v>276</v>
      </c>
      <c r="D90" s="9">
        <v>1953755.67</v>
      </c>
      <c r="E90" s="9">
        <f t="shared" si="1"/>
        <v>97687.78349999999</v>
      </c>
      <c r="F90" s="9">
        <v>0</v>
      </c>
      <c r="G90" s="9">
        <v>41224.239999999998</v>
      </c>
      <c r="H90" s="14" t="s">
        <v>3</v>
      </c>
      <c r="I90" s="1"/>
    </row>
    <row r="91" spans="1:9" ht="39" x14ac:dyDescent="0.25">
      <c r="A91" s="1"/>
      <c r="B91" s="58" t="s">
        <v>352</v>
      </c>
      <c r="C91" s="47" t="s">
        <v>328</v>
      </c>
      <c r="D91" s="9">
        <v>2776883.52</v>
      </c>
      <c r="E91" s="9">
        <f t="shared" si="1"/>
        <v>46281.392</v>
      </c>
      <c r="F91" s="9">
        <v>0</v>
      </c>
      <c r="G91" s="9">
        <v>58592.24</v>
      </c>
      <c r="H91" s="14" t="s">
        <v>3</v>
      </c>
      <c r="I91" s="1"/>
    </row>
    <row r="92" spans="1:9" ht="39" x14ac:dyDescent="0.25">
      <c r="A92" s="1"/>
      <c r="B92" s="58" t="s">
        <v>353</v>
      </c>
      <c r="C92" s="47" t="s">
        <v>276</v>
      </c>
      <c r="D92" s="9">
        <v>3183101.17</v>
      </c>
      <c r="E92" s="9">
        <f t="shared" si="1"/>
        <v>159155.05849999998</v>
      </c>
      <c r="F92" s="9">
        <v>0</v>
      </c>
      <c r="G92" s="9">
        <v>67163.429999999993</v>
      </c>
      <c r="H92" s="14" t="s">
        <v>3</v>
      </c>
      <c r="I92" s="1"/>
    </row>
    <row r="93" spans="1:9" ht="26.25" x14ac:dyDescent="0.25">
      <c r="A93" s="1"/>
      <c r="B93" s="58" t="s">
        <v>354</v>
      </c>
      <c r="C93" s="47" t="s">
        <v>328</v>
      </c>
      <c r="D93" s="9">
        <v>16286615.26</v>
      </c>
      <c r="E93" s="9">
        <f t="shared" si="1"/>
        <v>271443.58766666666</v>
      </c>
      <c r="F93" s="9">
        <v>0</v>
      </c>
      <c r="G93" s="9">
        <v>343647.58</v>
      </c>
      <c r="H93" s="14" t="s">
        <v>3</v>
      </c>
      <c r="I93" s="1"/>
    </row>
    <row r="94" spans="1:9" x14ac:dyDescent="0.25">
      <c r="A94" s="1"/>
      <c r="B94" s="58" t="s">
        <v>355</v>
      </c>
      <c r="C94" s="47" t="s">
        <v>276</v>
      </c>
      <c r="D94" s="9">
        <v>5140574.7</v>
      </c>
      <c r="E94" s="9">
        <f t="shared" si="1"/>
        <v>257028.73500000002</v>
      </c>
      <c r="F94" s="9">
        <v>0</v>
      </c>
      <c r="G94" s="9">
        <v>108466.13</v>
      </c>
      <c r="H94" s="14" t="s">
        <v>3</v>
      </c>
      <c r="I94" s="1"/>
    </row>
    <row r="95" spans="1:9" x14ac:dyDescent="0.25">
      <c r="A95" s="1"/>
      <c r="B95" s="58" t="s">
        <v>356</v>
      </c>
      <c r="C95" s="47" t="s">
        <v>276</v>
      </c>
      <c r="D95" s="9">
        <v>3716130.56</v>
      </c>
      <c r="E95" s="9">
        <f t="shared" si="1"/>
        <v>185806.52799999999</v>
      </c>
      <c r="F95" s="9">
        <v>0</v>
      </c>
      <c r="G95" s="9">
        <v>78410.350000000006</v>
      </c>
      <c r="H95" s="14" t="s">
        <v>3</v>
      </c>
      <c r="I95" s="1"/>
    </row>
    <row r="96" spans="1:9" ht="51.75" x14ac:dyDescent="0.25">
      <c r="A96" s="1"/>
      <c r="B96" s="58" t="s">
        <v>357</v>
      </c>
      <c r="C96" s="47" t="s">
        <v>328</v>
      </c>
      <c r="D96" s="9">
        <v>4861040.25</v>
      </c>
      <c r="E96" s="9">
        <f t="shared" si="1"/>
        <v>81017.337499999994</v>
      </c>
      <c r="F96" s="9">
        <v>0</v>
      </c>
      <c r="G96" s="9">
        <v>102567.95</v>
      </c>
      <c r="H96" s="14" t="s">
        <v>3</v>
      </c>
      <c r="I96" s="1"/>
    </row>
    <row r="97" spans="1:9" ht="39" x14ac:dyDescent="0.25">
      <c r="A97" s="1"/>
      <c r="B97" s="58" t="s">
        <v>358</v>
      </c>
      <c r="C97" s="47" t="s">
        <v>276</v>
      </c>
      <c r="D97" s="9">
        <v>8005499.4400000004</v>
      </c>
      <c r="E97" s="9">
        <f t="shared" si="1"/>
        <v>400274.97200000001</v>
      </c>
      <c r="F97" s="9">
        <v>0</v>
      </c>
      <c r="G97" s="9">
        <v>168916.04</v>
      </c>
      <c r="H97" s="14" t="s">
        <v>3</v>
      </c>
      <c r="I97" s="1"/>
    </row>
    <row r="98" spans="1:9" ht="39" x14ac:dyDescent="0.25">
      <c r="A98" s="1"/>
      <c r="B98" s="58" t="s">
        <v>359</v>
      </c>
      <c r="C98" s="47" t="s">
        <v>328</v>
      </c>
      <c r="D98" s="9">
        <v>3151478.74</v>
      </c>
      <c r="E98" s="9">
        <f t="shared" si="1"/>
        <v>52524.645666666671</v>
      </c>
      <c r="F98" s="9">
        <v>0</v>
      </c>
      <c r="G98" s="9">
        <v>66496.2</v>
      </c>
      <c r="H98" s="14" t="s">
        <v>3</v>
      </c>
      <c r="I98" s="1"/>
    </row>
    <row r="99" spans="1:9" ht="39" x14ac:dyDescent="0.25">
      <c r="A99" s="1"/>
      <c r="B99" s="58" t="s">
        <v>360</v>
      </c>
      <c r="C99" s="47" t="s">
        <v>276</v>
      </c>
      <c r="D99" s="9">
        <v>5848948.4000000004</v>
      </c>
      <c r="E99" s="9">
        <f t="shared" si="1"/>
        <v>292447.42000000004</v>
      </c>
      <c r="F99" s="9">
        <v>0</v>
      </c>
      <c r="G99" s="9">
        <v>123412.81</v>
      </c>
      <c r="H99" s="14" t="s">
        <v>3</v>
      </c>
      <c r="I99" s="1"/>
    </row>
    <row r="100" spans="1:9" ht="39" x14ac:dyDescent="0.25">
      <c r="A100" s="1"/>
      <c r="B100" s="58" t="s">
        <v>361</v>
      </c>
      <c r="C100" s="47" t="s">
        <v>278</v>
      </c>
      <c r="D100" s="9">
        <v>6535380.9500000002</v>
      </c>
      <c r="E100" s="9">
        <f t="shared" si="1"/>
        <v>653538.09499999997</v>
      </c>
      <c r="F100" s="9">
        <v>0</v>
      </c>
      <c r="G100" s="9">
        <v>137896.54</v>
      </c>
      <c r="H100" s="14" t="s">
        <v>3</v>
      </c>
      <c r="I100" s="1"/>
    </row>
    <row r="101" spans="1:9" ht="26.25" x14ac:dyDescent="0.25">
      <c r="A101" s="1"/>
      <c r="B101" s="58" t="s">
        <v>362</v>
      </c>
      <c r="C101" s="47" t="s">
        <v>328</v>
      </c>
      <c r="D101" s="9">
        <v>1703792.9</v>
      </c>
      <c r="E101" s="9">
        <f t="shared" si="1"/>
        <v>28396.548333333332</v>
      </c>
      <c r="F101" s="9">
        <v>0</v>
      </c>
      <c r="G101" s="9">
        <v>35950.03</v>
      </c>
      <c r="H101" s="14" t="s">
        <v>3</v>
      </c>
      <c r="I101" s="1"/>
    </row>
    <row r="102" spans="1:9" ht="26.25" x14ac:dyDescent="0.25">
      <c r="A102" s="1"/>
      <c r="B102" s="58" t="s">
        <v>363</v>
      </c>
      <c r="C102" s="47" t="s">
        <v>276</v>
      </c>
      <c r="D102" s="9">
        <v>517253.94</v>
      </c>
      <c r="E102" s="9">
        <f t="shared" si="1"/>
        <v>25862.697</v>
      </c>
      <c r="F102" s="9">
        <v>0</v>
      </c>
      <c r="G102" s="9">
        <v>10914.06</v>
      </c>
      <c r="H102" s="14" t="s">
        <v>3</v>
      </c>
      <c r="I102" s="1"/>
    </row>
    <row r="103" spans="1:9" ht="39" x14ac:dyDescent="0.25">
      <c r="A103" s="1"/>
      <c r="B103" s="58" t="s">
        <v>364</v>
      </c>
      <c r="C103" s="47" t="s">
        <v>328</v>
      </c>
      <c r="D103" s="9">
        <v>2264061.19</v>
      </c>
      <c r="E103" s="9">
        <f t="shared" si="1"/>
        <v>37734.353166666668</v>
      </c>
      <c r="F103" s="9">
        <v>0</v>
      </c>
      <c r="G103" s="9">
        <v>47771.69</v>
      </c>
      <c r="H103" s="14" t="s">
        <v>3</v>
      </c>
      <c r="I103" s="1"/>
    </row>
    <row r="104" spans="1:9" ht="26.25" x14ac:dyDescent="0.25">
      <c r="A104" s="1"/>
      <c r="B104" s="58" t="s">
        <v>365</v>
      </c>
      <c r="C104" s="47" t="s">
        <v>276</v>
      </c>
      <c r="D104" s="9">
        <v>1563162.1</v>
      </c>
      <c r="E104" s="9">
        <f t="shared" si="1"/>
        <v>78158.10500000001</v>
      </c>
      <c r="F104" s="9">
        <v>0</v>
      </c>
      <c r="G104" s="9">
        <v>32982.720000000001</v>
      </c>
      <c r="H104" s="14" t="s">
        <v>3</v>
      </c>
      <c r="I104" s="1"/>
    </row>
    <row r="105" spans="1:9" ht="39" x14ac:dyDescent="0.25">
      <c r="A105" s="1"/>
      <c r="B105" s="58" t="s">
        <v>366</v>
      </c>
      <c r="C105" s="47" t="s">
        <v>328</v>
      </c>
      <c r="D105" s="9">
        <v>301382.09000000003</v>
      </c>
      <c r="E105" s="9">
        <f t="shared" si="1"/>
        <v>5023.0348333333341</v>
      </c>
      <c r="F105" s="9">
        <v>0</v>
      </c>
      <c r="G105" s="9">
        <v>6359.16</v>
      </c>
      <c r="H105" s="14" t="s">
        <v>3</v>
      </c>
      <c r="I105" s="1"/>
    </row>
    <row r="106" spans="1:9" ht="26.25" x14ac:dyDescent="0.25">
      <c r="A106" s="1"/>
      <c r="B106" s="58" t="s">
        <v>367</v>
      </c>
      <c r="C106" s="47" t="s">
        <v>276</v>
      </c>
      <c r="D106" s="9">
        <v>2069015.76</v>
      </c>
      <c r="E106" s="9">
        <f t="shared" si="1"/>
        <v>103450.788</v>
      </c>
      <c r="F106" s="9">
        <v>0</v>
      </c>
      <c r="G106" s="9">
        <v>43656.23</v>
      </c>
      <c r="H106" s="14" t="s">
        <v>3</v>
      </c>
      <c r="I106" s="1"/>
    </row>
    <row r="107" spans="1:9" ht="39" x14ac:dyDescent="0.25">
      <c r="A107" s="1"/>
      <c r="B107" s="58" t="s">
        <v>368</v>
      </c>
      <c r="C107" s="47" t="s">
        <v>328</v>
      </c>
      <c r="D107" s="9">
        <v>1696534.75</v>
      </c>
      <c r="E107" s="9">
        <f t="shared" si="1"/>
        <v>28275.579166666666</v>
      </c>
      <c r="F107" s="9">
        <v>0</v>
      </c>
      <c r="G107" s="9">
        <v>35796.879999999997</v>
      </c>
      <c r="H107" s="14" t="s">
        <v>3</v>
      </c>
      <c r="I107" s="1"/>
    </row>
    <row r="108" spans="1:9" ht="26.25" x14ac:dyDescent="0.25">
      <c r="A108" s="1"/>
      <c r="B108" s="58" t="s">
        <v>369</v>
      </c>
      <c r="C108" s="47" t="s">
        <v>276</v>
      </c>
      <c r="D108" s="9">
        <v>14928744.470000001</v>
      </c>
      <c r="E108" s="9">
        <f t="shared" si="1"/>
        <v>746437.22350000008</v>
      </c>
      <c r="F108" s="9">
        <v>0</v>
      </c>
      <c r="G108" s="9">
        <v>314996.51</v>
      </c>
      <c r="H108" s="14" t="s">
        <v>3</v>
      </c>
      <c r="I108" s="1"/>
    </row>
    <row r="109" spans="1:9" ht="26.25" x14ac:dyDescent="0.25">
      <c r="A109" s="1"/>
      <c r="B109" s="58" t="s">
        <v>370</v>
      </c>
      <c r="C109" s="47" t="s">
        <v>328</v>
      </c>
      <c r="D109" s="9">
        <v>567930.97</v>
      </c>
      <c r="E109" s="9">
        <f t="shared" si="1"/>
        <v>9465.5161666666663</v>
      </c>
      <c r="F109" s="9">
        <v>0</v>
      </c>
      <c r="G109" s="9">
        <v>11983.34</v>
      </c>
      <c r="H109" s="14" t="s">
        <v>3</v>
      </c>
      <c r="I109" s="1"/>
    </row>
    <row r="110" spans="1:9" ht="26.25" x14ac:dyDescent="0.25">
      <c r="A110" s="1"/>
      <c r="B110" s="58" t="s">
        <v>371</v>
      </c>
      <c r="C110" s="47" t="s">
        <v>276</v>
      </c>
      <c r="D110" s="9">
        <v>2900168.04</v>
      </c>
      <c r="E110" s="9">
        <f t="shared" si="1"/>
        <v>145008.402</v>
      </c>
      <c r="F110" s="9">
        <v>0</v>
      </c>
      <c r="G110" s="9">
        <v>61193.55</v>
      </c>
      <c r="H110" s="14" t="s">
        <v>3</v>
      </c>
      <c r="I110" s="1"/>
    </row>
    <row r="111" spans="1:9" ht="39" x14ac:dyDescent="0.25">
      <c r="A111" s="1"/>
      <c r="B111" s="58" t="s">
        <v>372</v>
      </c>
      <c r="C111" s="47" t="s">
        <v>272</v>
      </c>
      <c r="D111" s="9">
        <v>4809619.72</v>
      </c>
      <c r="E111" s="9">
        <f t="shared" si="1"/>
        <v>64128.262933333332</v>
      </c>
      <c r="F111" s="9">
        <v>0</v>
      </c>
      <c r="G111" s="9">
        <v>101482.98</v>
      </c>
      <c r="H111" s="14" t="s">
        <v>3</v>
      </c>
      <c r="I111" s="1"/>
    </row>
    <row r="112" spans="1:9" ht="64.5" x14ac:dyDescent="0.25">
      <c r="A112" s="1"/>
      <c r="B112" s="58" t="s">
        <v>373</v>
      </c>
      <c r="C112" s="47" t="s">
        <v>294</v>
      </c>
      <c r="D112" s="9">
        <v>1952829.78</v>
      </c>
      <c r="E112" s="9">
        <f t="shared" si="1"/>
        <v>39056.595600000001</v>
      </c>
      <c r="F112" s="9">
        <v>0</v>
      </c>
      <c r="G112" s="9">
        <v>41204.71</v>
      </c>
      <c r="H112" s="14" t="s">
        <v>3</v>
      </c>
      <c r="I112" s="1"/>
    </row>
    <row r="113" spans="1:9" x14ac:dyDescent="0.25">
      <c r="A113" s="1"/>
      <c r="B113" s="58" t="s">
        <v>374</v>
      </c>
      <c r="C113" s="47" t="s">
        <v>294</v>
      </c>
      <c r="D113" s="9">
        <v>8449450.6300000008</v>
      </c>
      <c r="E113" s="9">
        <f t="shared" si="1"/>
        <v>168989.01260000002</v>
      </c>
      <c r="F113" s="9">
        <v>0</v>
      </c>
      <c r="G113" s="9">
        <v>178283.41</v>
      </c>
      <c r="H113" s="14" t="s">
        <v>3</v>
      </c>
      <c r="I113" s="1"/>
    </row>
    <row r="114" spans="1:9" x14ac:dyDescent="0.25">
      <c r="A114" s="1"/>
      <c r="B114" s="58" t="s">
        <v>279</v>
      </c>
      <c r="C114" s="47" t="s">
        <v>272</v>
      </c>
      <c r="D114" s="9">
        <v>112019.57</v>
      </c>
      <c r="E114" s="9">
        <f t="shared" si="1"/>
        <v>1493.5942666666667</v>
      </c>
      <c r="F114" s="9">
        <v>0</v>
      </c>
      <c r="G114" s="9">
        <v>2363.61</v>
      </c>
      <c r="H114" s="14" t="s">
        <v>3</v>
      </c>
      <c r="I114" s="1"/>
    </row>
    <row r="115" spans="1:9" ht="26.25" x14ac:dyDescent="0.25">
      <c r="A115" s="1"/>
      <c r="B115" s="58" t="s">
        <v>271</v>
      </c>
      <c r="C115" s="47" t="s">
        <v>272</v>
      </c>
      <c r="D115" s="9">
        <v>536060.31999999995</v>
      </c>
      <c r="E115" s="9">
        <f t="shared" si="1"/>
        <v>7147.4709333333331</v>
      </c>
      <c r="F115" s="9">
        <v>0</v>
      </c>
      <c r="G115" s="9">
        <v>11310.87</v>
      </c>
      <c r="H115" s="14" t="s">
        <v>3</v>
      </c>
      <c r="I115" s="1"/>
    </row>
    <row r="116" spans="1:9" ht="26.25" x14ac:dyDescent="0.25">
      <c r="A116" s="1"/>
      <c r="B116" s="58" t="s">
        <v>375</v>
      </c>
      <c r="C116" s="47" t="s">
        <v>294</v>
      </c>
      <c r="D116" s="9">
        <v>303386.33</v>
      </c>
      <c r="E116" s="9">
        <f t="shared" si="1"/>
        <v>6067.7266</v>
      </c>
      <c r="F116" s="9">
        <v>0</v>
      </c>
      <c r="G116" s="9">
        <v>6401.45</v>
      </c>
      <c r="H116" s="14" t="s">
        <v>3</v>
      </c>
      <c r="I116" s="1"/>
    </row>
    <row r="117" spans="1:9" x14ac:dyDescent="0.25">
      <c r="A117" s="1"/>
      <c r="B117" s="58" t="s">
        <v>374</v>
      </c>
      <c r="C117" s="47" t="s">
        <v>294</v>
      </c>
      <c r="D117" s="9">
        <v>699687.73</v>
      </c>
      <c r="E117" s="9">
        <f t="shared" si="1"/>
        <v>13993.7546</v>
      </c>
      <c r="F117" s="9">
        <v>0</v>
      </c>
      <c r="G117" s="9">
        <v>14763.41</v>
      </c>
      <c r="H117" s="14" t="s">
        <v>3</v>
      </c>
      <c r="I117" s="1"/>
    </row>
    <row r="118" spans="1:9" x14ac:dyDescent="0.25">
      <c r="A118" s="1"/>
      <c r="B118" s="58" t="s">
        <v>376</v>
      </c>
      <c r="C118" s="47" t="s">
        <v>272</v>
      </c>
      <c r="D118" s="9">
        <v>99955.39</v>
      </c>
      <c r="E118" s="9">
        <f t="shared" si="1"/>
        <v>1332.7385333333334</v>
      </c>
      <c r="F118" s="9">
        <v>0</v>
      </c>
      <c r="G118" s="9">
        <v>2109.06</v>
      </c>
      <c r="H118" s="14" t="s">
        <v>3</v>
      </c>
      <c r="I118" s="1"/>
    </row>
    <row r="119" spans="1:9" ht="26.25" x14ac:dyDescent="0.25">
      <c r="A119" s="1"/>
      <c r="B119" s="58" t="s">
        <v>271</v>
      </c>
      <c r="C119" s="47" t="s">
        <v>272</v>
      </c>
      <c r="D119" s="9">
        <v>4198126.41</v>
      </c>
      <c r="E119" s="9">
        <f t="shared" ref="E119:E120" si="2">IFERROR(D119/C119,0)</f>
        <v>55975.018800000005</v>
      </c>
      <c r="F119" s="9">
        <v>0</v>
      </c>
      <c r="G119" s="9">
        <v>88580.47</v>
      </c>
      <c r="H119" s="14" t="s">
        <v>3</v>
      </c>
      <c r="I119" s="1"/>
    </row>
    <row r="120" spans="1:9" ht="26.25" x14ac:dyDescent="0.25">
      <c r="A120" s="1"/>
      <c r="B120" s="58" t="s">
        <v>377</v>
      </c>
      <c r="C120" s="47" t="s">
        <v>278</v>
      </c>
      <c r="D120" s="9">
        <v>54653.8</v>
      </c>
      <c r="E120" s="9">
        <f t="shared" si="2"/>
        <v>5465.38</v>
      </c>
      <c r="F120" s="9">
        <v>0</v>
      </c>
      <c r="G120" s="9">
        <v>1153.2</v>
      </c>
      <c r="H120" s="14" t="s">
        <v>3</v>
      </c>
      <c r="I120" s="1"/>
    </row>
    <row r="121" spans="1:9" x14ac:dyDescent="0.25">
      <c r="A121" s="1"/>
      <c r="B121" s="91" t="s">
        <v>238</v>
      </c>
      <c r="C121" s="92"/>
      <c r="D121" s="93"/>
      <c r="E121" s="12">
        <f>SUM(E10:E120)</f>
        <v>10861420.581600003</v>
      </c>
      <c r="F121" s="12">
        <f t="shared" ref="F121:G121" si="3">SUM(F10:F120)</f>
        <v>0</v>
      </c>
      <c r="G121" s="12">
        <f t="shared" si="3"/>
        <v>7192218.5600000005</v>
      </c>
      <c r="H121" s="13" t="s">
        <v>3</v>
      </c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21:D12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7" t="s">
        <v>168</v>
      </c>
      <c r="C3" s="77"/>
      <c r="D3" s="77"/>
      <c r="E3" s="77"/>
      <c r="F3" s="77"/>
      <c r="G3" s="1"/>
    </row>
    <row r="4" spans="1:7" ht="15" customHeight="1" x14ac:dyDescent="0.25">
      <c r="A4" s="1"/>
      <c r="B4" s="77"/>
      <c r="C4" s="77"/>
      <c r="D4" s="77"/>
      <c r="E4" s="77"/>
      <c r="F4" s="7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1" t="s">
        <v>18</v>
      </c>
      <c r="C9" s="51" t="s">
        <v>12</v>
      </c>
      <c r="D9" s="52"/>
      <c r="E9" s="51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Anlægsprojekter'!F121</f>
        <v>0</v>
      </c>
      <c r="D10" s="14" t="s">
        <v>3</v>
      </c>
      <c r="E10" s="9">
        <f>SUM('Fane 9. Anlægsprojekter'!E121,'Fane 9. Anlægsprojekter'!G121)</f>
        <v>18053639.141600005</v>
      </c>
      <c r="F10" s="14" t="s">
        <v>3</v>
      </c>
      <c r="G10" s="1"/>
    </row>
    <row r="11" spans="1:7" x14ac:dyDescent="0.25">
      <c r="A11" s="1"/>
      <c r="B11" s="48" t="s">
        <v>379</v>
      </c>
      <c r="C11" s="22">
        <v>583802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48" t="s">
        <v>381</v>
      </c>
      <c r="C12" s="22">
        <v>0</v>
      </c>
      <c r="D12" s="14" t="s">
        <v>3</v>
      </c>
      <c r="E12" s="9">
        <v>22341</v>
      </c>
      <c r="F12" s="14" t="s">
        <v>3</v>
      </c>
      <c r="G12" s="1"/>
    </row>
    <row r="13" spans="1:7" x14ac:dyDescent="0.25">
      <c r="A13" s="1"/>
      <c r="B13" s="25" t="s">
        <v>382</v>
      </c>
      <c r="C13" s="22">
        <v>138106</v>
      </c>
      <c r="D13" s="14" t="s">
        <v>3</v>
      </c>
      <c r="E13" s="9">
        <v>410452</v>
      </c>
      <c r="F13" s="14" t="s">
        <v>3</v>
      </c>
      <c r="G13" s="1"/>
    </row>
    <row r="14" spans="1:7" x14ac:dyDescent="0.25">
      <c r="A14" s="1"/>
      <c r="B14" s="38" t="s">
        <v>50</v>
      </c>
      <c r="C14" s="12">
        <f>SUM(C10:C13)</f>
        <v>721908</v>
      </c>
      <c r="D14" s="13" t="s">
        <v>3</v>
      </c>
      <c r="E14" s="12">
        <f>SUM(E10:E13)</f>
        <v>18486432.141600005</v>
      </c>
      <c r="F14" s="13" t="s">
        <v>3</v>
      </c>
      <c r="G14" s="1"/>
    </row>
    <row r="15" spans="1:7" x14ac:dyDescent="0.25">
      <c r="A15" s="1"/>
      <c r="B15" s="38" t="s">
        <v>219</v>
      </c>
      <c r="C15" s="12">
        <f>C14*(1+'Fane 14. Nøgletal'!C13)</f>
        <v>730715.27760000003</v>
      </c>
      <c r="D15" s="13" t="s">
        <v>3</v>
      </c>
      <c r="E15" s="12">
        <f>E14*(1+'Fane 14. Nøgletal'!C13)</f>
        <v>18711966.613727525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2kVkP0DJRUqVCxBElpLAe9aL5fbbAWZbLffhQ+U2t+YUydFiZ6mS3vAiDf7vqYwvHAT5JDbt2HpkdnNer/h8IQ==" saltValue="ES3TNV+0+7g3Xs9d2m8Y7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7" t="s">
        <v>167</v>
      </c>
      <c r="C3" s="77"/>
      <c r="D3" s="77"/>
      <c r="E3" s="77"/>
      <c r="F3" s="77"/>
      <c r="G3" s="1"/>
    </row>
    <row r="4" spans="1:7" ht="15" customHeight="1" x14ac:dyDescent="0.25">
      <c r="A4" s="1"/>
      <c r="B4" s="77"/>
      <c r="C4" s="77"/>
      <c r="D4" s="77"/>
      <c r="E4" s="77"/>
      <c r="F4" s="7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141</v>
      </c>
      <c r="C8" s="92"/>
      <c r="D8" s="92"/>
      <c r="E8" s="92"/>
      <c r="F8" s="93"/>
      <c r="G8" s="1"/>
    </row>
    <row r="9" spans="1:7" x14ac:dyDescent="0.25">
      <c r="A9" s="1"/>
      <c r="B9" s="51" t="s">
        <v>18</v>
      </c>
      <c r="C9" s="51" t="s">
        <v>12</v>
      </c>
      <c r="D9" s="52"/>
      <c r="E9" s="51" t="s">
        <v>38</v>
      </c>
      <c r="F9" s="37"/>
      <c r="G9" s="1"/>
    </row>
    <row r="10" spans="1:7" x14ac:dyDescent="0.25">
      <c r="A10" s="1"/>
      <c r="B10" s="25" t="s">
        <v>380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1" t="s">
        <v>142</v>
      </c>
      <c r="C16" s="92"/>
      <c r="D16" s="92"/>
      <c r="E16" s="92"/>
      <c r="F16" s="93"/>
      <c r="G16" s="1"/>
    </row>
    <row r="17" spans="1:7" x14ac:dyDescent="0.25">
      <c r="A17" s="1"/>
      <c r="B17" s="51" t="s">
        <v>18</v>
      </c>
      <c r="C17" s="51" t="s">
        <v>12</v>
      </c>
      <c r="D17" s="52"/>
      <c r="E17" s="51" t="s">
        <v>38</v>
      </c>
      <c r="F17" s="37"/>
      <c r="G17" s="1"/>
    </row>
    <row r="18" spans="1:7" x14ac:dyDescent="0.25">
      <c r="A18" s="1"/>
      <c r="B18" s="25" t="s">
        <v>380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1" t="s">
        <v>143</v>
      </c>
      <c r="C24" s="92"/>
      <c r="D24" s="92"/>
      <c r="E24" s="92"/>
      <c r="F24" s="93"/>
      <c r="G24" s="1"/>
    </row>
    <row r="25" spans="1:7" x14ac:dyDescent="0.25">
      <c r="A25" s="1"/>
      <c r="B25" s="51" t="s">
        <v>18</v>
      </c>
      <c r="C25" s="51" t="s">
        <v>12</v>
      </c>
      <c r="D25" s="52"/>
      <c r="E25" s="51" t="s">
        <v>38</v>
      </c>
      <c r="F25" s="37"/>
      <c r="G25" s="1"/>
    </row>
    <row r="26" spans="1:7" x14ac:dyDescent="0.25">
      <c r="A26" s="1"/>
      <c r="B26" s="25" t="s">
        <v>380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1" t="s">
        <v>223</v>
      </c>
      <c r="C32" s="92"/>
      <c r="D32" s="92"/>
      <c r="E32" s="92"/>
      <c r="F32" s="93"/>
      <c r="G32" s="1"/>
    </row>
    <row r="33" spans="1:7" x14ac:dyDescent="0.25">
      <c r="A33" s="1"/>
      <c r="B33" s="51" t="s">
        <v>18</v>
      </c>
      <c r="C33" s="51" t="s">
        <v>12</v>
      </c>
      <c r="D33" s="52"/>
      <c r="E33" s="51" t="s">
        <v>38</v>
      </c>
      <c r="F33" s="37"/>
      <c r="G33" s="1"/>
    </row>
    <row r="34" spans="1:7" x14ac:dyDescent="0.25">
      <c r="A34" s="1"/>
      <c r="B34" s="25" t="s">
        <v>380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ZAimfACOG19cSSmKkn5MORS0ci575rAmz6rhJjcQ+Vw4xdq9UqYnLkt17fIR//Eu6EXZ9da51GsAlgB22PP8IQ==" saltValue="TxZeTAI6v8QfgX6wcpi+W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169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88"/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125</v>
      </c>
      <c r="C8" s="92"/>
      <c r="D8" s="92"/>
      <c r="E8" s="92"/>
      <c r="F8" s="93"/>
      <c r="G8" s="1"/>
    </row>
    <row r="9" spans="1:7" x14ac:dyDescent="0.25">
      <c r="A9" s="1"/>
      <c r="B9" s="111" t="s">
        <v>207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82" t="s">
        <v>10</v>
      </c>
      <c r="C10" s="83"/>
      <c r="D10" s="89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2" t="s">
        <v>29</v>
      </c>
      <c r="C11" s="83"/>
      <c r="D11" s="89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91" t="s">
        <v>128</v>
      </c>
      <c r="C12" s="92"/>
      <c r="D12" s="93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1" t="s">
        <v>126</v>
      </c>
      <c r="C14" s="92"/>
      <c r="D14" s="92"/>
      <c r="E14" s="92"/>
      <c r="F14" s="93"/>
      <c r="G14" s="1"/>
    </row>
    <row r="15" spans="1:7" x14ac:dyDescent="0.25">
      <c r="A15" s="1"/>
      <c r="B15" s="111" t="s">
        <v>207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82" t="s">
        <v>10</v>
      </c>
      <c r="C16" s="83"/>
      <c r="D16" s="89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2" t="s">
        <v>29</v>
      </c>
      <c r="C17" s="83"/>
      <c r="D17" s="89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91" t="s">
        <v>129</v>
      </c>
      <c r="C18" s="92"/>
      <c r="D18" s="93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1" t="s">
        <v>127</v>
      </c>
      <c r="C20" s="92"/>
      <c r="D20" s="92"/>
      <c r="E20" s="92"/>
      <c r="F20" s="93"/>
      <c r="G20" s="1"/>
    </row>
    <row r="21" spans="1:7" x14ac:dyDescent="0.25">
      <c r="A21" s="1"/>
      <c r="B21" s="111" t="s">
        <v>207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82" t="s">
        <v>10</v>
      </c>
      <c r="C22" s="83"/>
      <c r="D22" s="89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2" t="s">
        <v>29</v>
      </c>
      <c r="C23" s="83"/>
      <c r="D23" s="89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91" t="s">
        <v>130</v>
      </c>
      <c r="C24" s="92"/>
      <c r="D24" s="93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1" t="s">
        <v>208</v>
      </c>
      <c r="C26" s="92"/>
      <c r="D26" s="92"/>
      <c r="E26" s="92"/>
      <c r="F26" s="93"/>
      <c r="G26" s="1"/>
    </row>
    <row r="27" spans="1:7" x14ac:dyDescent="0.25">
      <c r="A27" s="1"/>
      <c r="B27" s="111" t="s">
        <v>207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82" t="s">
        <v>10</v>
      </c>
      <c r="C28" s="83"/>
      <c r="D28" s="89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2" t="s">
        <v>29</v>
      </c>
      <c r="C29" s="83"/>
      <c r="D29" s="89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91" t="s">
        <v>209</v>
      </c>
      <c r="C30" s="92"/>
      <c r="D30" s="93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210</v>
      </c>
      <c r="C3" s="88"/>
      <c r="D3" s="88"/>
      <c r="E3" s="88"/>
      <c r="F3" s="88"/>
      <c r="G3" s="1"/>
    </row>
    <row r="4" spans="1:7" ht="25.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211</v>
      </c>
      <c r="C8" s="92"/>
      <c r="D8" s="92"/>
      <c r="E8" s="92"/>
      <c r="F8" s="93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166</v>
      </c>
      <c r="C3" s="88"/>
      <c r="D3" s="88"/>
      <c r="E3" s="88"/>
      <c r="F3" s="88"/>
      <c r="G3" s="1"/>
    </row>
    <row r="4" spans="1:7" ht="25.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1" t="s">
        <v>132</v>
      </c>
      <c r="C8" s="92"/>
      <c r="D8" s="92"/>
      <c r="E8" s="92"/>
      <c r="F8" s="93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378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1" t="s">
        <v>131</v>
      </c>
      <c r="C14" s="92"/>
      <c r="D14" s="92"/>
      <c r="E14" s="92"/>
      <c r="F14" s="93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378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1" t="s">
        <v>133</v>
      </c>
      <c r="C20" s="92"/>
      <c r="D20" s="92"/>
      <c r="E20" s="92"/>
      <c r="F20" s="93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378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1" t="s">
        <v>227</v>
      </c>
      <c r="C26" s="92"/>
      <c r="D26" s="92"/>
      <c r="E26" s="92"/>
      <c r="F26" s="93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378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JSQ7WoSOFQ8fhsW9L/AJ4bO07BFSUCoCt7e0kW4a1aaHwfP2FCcdom7NU8i8Gns/OjRCI2eKm26kTC29R/LINQ==" saltValue="QVmVN3j82X2Jtmjm8pdf9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8" t="s">
        <v>257</v>
      </c>
      <c r="C3" s="88"/>
      <c r="D3" s="1"/>
    </row>
    <row r="4" spans="1:4" ht="25.5" customHeight="1" x14ac:dyDescent="0.25">
      <c r="A4" s="1"/>
      <c r="B4" s="88"/>
      <c r="C4" s="8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6" t="s">
        <v>170</v>
      </c>
      <c r="C9" s="26">
        <v>1.2699999999999999E-2</v>
      </c>
      <c r="D9" s="1"/>
    </row>
    <row r="10" spans="1:4" x14ac:dyDescent="0.25">
      <c r="A10" s="1"/>
      <c r="B10" s="56" t="s">
        <v>171</v>
      </c>
      <c r="C10" s="26">
        <v>1.7500000000000002E-2</v>
      </c>
      <c r="D10" s="1"/>
    </row>
    <row r="11" spans="1:4" x14ac:dyDescent="0.25">
      <c r="A11" s="1"/>
      <c r="B11" s="56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6" t="s">
        <v>173</v>
      </c>
      <c r="C18" s="23">
        <v>9.1000000000000004E-3</v>
      </c>
      <c r="D18" s="1"/>
    </row>
    <row r="19" spans="1:4" x14ac:dyDescent="0.25">
      <c r="A19" s="1"/>
      <c r="B19" s="56" t="s">
        <v>174</v>
      </c>
      <c r="C19" s="23">
        <v>1.77E-2</v>
      </c>
      <c r="D19" s="1"/>
    </row>
    <row r="20" spans="1:4" x14ac:dyDescent="0.25">
      <c r="A20" s="1"/>
      <c r="B20" s="56" t="s">
        <v>175</v>
      </c>
      <c r="C20" s="23">
        <v>8.6999999999999994E-3</v>
      </c>
      <c r="D20" s="1"/>
    </row>
    <row r="21" spans="1:4" x14ac:dyDescent="0.25">
      <c r="A21" s="1"/>
      <c r="B21" s="56" t="s">
        <v>176</v>
      </c>
      <c r="C21" s="41">
        <v>2.8400000000000002E-2</v>
      </c>
      <c r="D21" s="1"/>
    </row>
    <row r="22" spans="1:4" x14ac:dyDescent="0.25">
      <c r="A22" s="1"/>
      <c r="B22" s="56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6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7" t="s">
        <v>185</v>
      </c>
      <c r="C3" s="77"/>
      <c r="D3" s="77"/>
      <c r="E3" s="1"/>
    </row>
    <row r="4" spans="1:5" ht="15" customHeight="1" x14ac:dyDescent="0.25">
      <c r="A4" s="1"/>
      <c r="B4" s="77"/>
      <c r="C4" s="77"/>
      <c r="D4" s="7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94178180.348490715</v>
      </c>
      <c r="D9" s="8" t="s">
        <v>3</v>
      </c>
      <c r="E9" s="1"/>
    </row>
    <row r="10" spans="1:5" ht="17.100000000000001" customHeight="1" x14ac:dyDescent="0.25">
      <c r="A10" s="1"/>
      <c r="B10" s="50" t="s">
        <v>48</v>
      </c>
      <c r="C10" s="7">
        <f>'Fane 10.1. Varige tillæg'!C15</f>
        <v>730715.27760000003</v>
      </c>
      <c r="D10" s="8" t="s">
        <v>3</v>
      </c>
      <c r="E10" s="1"/>
    </row>
    <row r="11" spans="1:5" ht="17.100000000000001" customHeight="1" x14ac:dyDescent="0.25">
      <c r="A11" s="1"/>
      <c r="B11" s="50" t="s">
        <v>49</v>
      </c>
      <c r="C11" s="9">
        <f>'Fane 10.1. Varige tillæg'!E15</f>
        <v>18711966.613727525</v>
      </c>
      <c r="D11" s="8" t="s">
        <v>3</v>
      </c>
      <c r="E11" s="1"/>
    </row>
    <row r="12" spans="1:5" ht="17.100000000000001" customHeight="1" x14ac:dyDescent="0.25">
      <c r="A12" s="1"/>
      <c r="B12" s="50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0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0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0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0" t="s">
        <v>20</v>
      </c>
      <c r="C16" s="9">
        <f>C9*'Fane 14. Nøgletal'!C12+SUM(C10:C15)*'Fane 14. Nøgletal'!C13</f>
        <v>2092510.8719394626</v>
      </c>
      <c r="D16" s="8" t="s">
        <v>3</v>
      </c>
      <c r="E16" s="1"/>
    </row>
    <row r="17" spans="1:5" ht="17.100000000000001" customHeight="1" x14ac:dyDescent="0.25">
      <c r="A17" s="1"/>
      <c r="B17" s="50" t="s">
        <v>10</v>
      </c>
      <c r="C17" s="9">
        <f>-SUM(C9:C16)*'Fane 5. Individuelt eff. krav'!G11</f>
        <v>-787695.89713259693</v>
      </c>
      <c r="D17" s="8" t="s">
        <v>3</v>
      </c>
      <c r="E17" s="1"/>
    </row>
    <row r="18" spans="1:5" ht="17.100000000000001" customHeight="1" x14ac:dyDescent="0.25">
      <c r="A18" s="1"/>
      <c r="B18" s="50" t="s">
        <v>29</v>
      </c>
      <c r="C18" s="9">
        <f>-'Fane 4.1. Gen. krav - drift'!G34</f>
        <v>-783413.71635248931</v>
      </c>
      <c r="D18" s="8" t="s">
        <v>3</v>
      </c>
      <c r="E18" s="1"/>
    </row>
    <row r="19" spans="1:5" ht="17.100000000000001" customHeight="1" x14ac:dyDescent="0.25">
      <c r="A19" s="1"/>
      <c r="B19" s="50" t="s">
        <v>30</v>
      </c>
      <c r="C19" s="9">
        <f>-'Fane 4.2. Gen. krav - anlæg'!G31</f>
        <v>-2230291.75838415</v>
      </c>
      <c r="D19" s="8" t="s">
        <v>3</v>
      </c>
      <c r="E19" s="1"/>
    </row>
    <row r="20" spans="1:5" ht="17.100000000000001" customHeight="1" x14ac:dyDescent="0.25">
      <c r="A20" s="1"/>
      <c r="B20" s="54" t="s">
        <v>22</v>
      </c>
      <c r="C20" s="10">
        <f>SUM(C9:C19)</f>
        <v>111911971.73988847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8280463.9841120401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4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50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0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4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-1421014.5282987282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-1530933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117240488.19570179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7" t="s">
        <v>188</v>
      </c>
      <c r="C3" s="77"/>
      <c r="D3" s="77"/>
      <c r="E3" s="1"/>
    </row>
    <row r="4" spans="1:5" ht="15" customHeight="1" x14ac:dyDescent="0.25">
      <c r="A4" s="1"/>
      <c r="B4" s="77"/>
      <c r="C4" s="77"/>
      <c r="D4" s="77"/>
      <c r="E4" s="1"/>
    </row>
    <row r="5" spans="1:5" x14ac:dyDescent="0.25">
      <c r="A5" s="1"/>
      <c r="B5" s="78" t="s">
        <v>23</v>
      </c>
      <c r="C5" s="78"/>
      <c r="D5" s="7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111911971.73988847</v>
      </c>
      <c r="D9" s="8" t="s">
        <v>3</v>
      </c>
      <c r="E9" s="1"/>
    </row>
    <row r="10" spans="1:5" ht="15" customHeight="1" x14ac:dyDescent="0.25">
      <c r="A10" s="1"/>
      <c r="B10" s="50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0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1365326.0552266394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-771112.79631699738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-777111.93641814974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-2140586.9004420782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109588486.16193789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Nøgletal'!C13)+'Fane 6. Ikke-påvirkelige omk.'!C21+'Fane 6. Ikke-påvirkelige omk.'!C29</f>
        <v>8361004.2481182069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4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50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0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4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117949490.4100561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7" t="s">
        <v>189</v>
      </c>
      <c r="C3" s="77"/>
      <c r="D3" s="77"/>
      <c r="E3" s="1"/>
    </row>
    <row r="4" spans="1:5" ht="15" customHeight="1" x14ac:dyDescent="0.25">
      <c r="A4" s="1"/>
      <c r="B4" s="77"/>
      <c r="C4" s="77"/>
      <c r="D4" s="77"/>
      <c r="E4" s="1"/>
    </row>
    <row r="5" spans="1:5" x14ac:dyDescent="0.25">
      <c r="A5" s="1"/>
      <c r="B5" s="78" t="s">
        <v>23</v>
      </c>
      <c r="C5" s="78"/>
      <c r="D5" s="78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109588486.16193789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1336979.5311756423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-755103.16452014213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-770860.84800160211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-2107117.753960216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107292383.92663157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Nøgletal'!C13)^2+'Fane 6. Ikke-påvirkelige omk.'!C22+'Fane 6. Ikke-påvirkelige omk.'!C30</f>
        <v>8442527.1033452488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4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50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0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4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115734911.02997681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7" t="s">
        <v>191</v>
      </c>
      <c r="C3" s="77"/>
      <c r="D3" s="77"/>
      <c r="E3" s="1"/>
    </row>
    <row r="4" spans="1:5" ht="15" customHeight="1" x14ac:dyDescent="0.25">
      <c r="A4" s="1"/>
      <c r="B4" s="77"/>
      <c r="C4" s="77"/>
      <c r="D4" s="77"/>
      <c r="E4" s="1"/>
    </row>
    <row r="5" spans="1:5" x14ac:dyDescent="0.25">
      <c r="A5" s="1"/>
      <c r="B5" s="78" t="s">
        <v>23</v>
      </c>
      <c r="C5" s="78"/>
      <c r="D5" s="78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107292383.92663157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1308967.0839049052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-739282.21357298177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-764660.04334027739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-2074171.9143181706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105023236.83930504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Nøgletal'!C13)^3+'Fane 6. Ikke-påvirkelige omk.'!C23+'Fane 6. Ikke-påvirkelige omk.'!C31</f>
        <v>8525044.5374060608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4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50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0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4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113548281.3767111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194</v>
      </c>
      <c r="C3" s="88"/>
      <c r="D3" s="88"/>
      <c r="E3" s="88"/>
      <c r="F3" s="88"/>
      <c r="G3" s="1"/>
    </row>
    <row r="4" spans="1:7" ht="29.2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9" t="s">
        <v>25</v>
      </c>
      <c r="C9" s="80"/>
      <c r="D9" s="81"/>
      <c r="E9" s="7">
        <v>85988227.880507603</v>
      </c>
      <c r="F9" s="8" t="s">
        <v>3</v>
      </c>
      <c r="G9" s="1"/>
    </row>
    <row r="10" spans="1:7" ht="15" customHeight="1" x14ac:dyDescent="0.25">
      <c r="A10" s="1"/>
      <c r="B10" s="82" t="s">
        <v>48</v>
      </c>
      <c r="C10" s="83"/>
      <c r="D10" s="89"/>
      <c r="E10" s="7">
        <v>822631.75829999999</v>
      </c>
      <c r="F10" s="8" t="s">
        <v>3</v>
      </c>
      <c r="G10" s="1"/>
    </row>
    <row r="11" spans="1:7" ht="15" customHeight="1" x14ac:dyDescent="0.25">
      <c r="A11" s="1"/>
      <c r="B11" s="82" t="s">
        <v>49</v>
      </c>
      <c r="C11" s="83"/>
      <c r="D11" s="89"/>
      <c r="E11" s="9">
        <v>8644016.830903247</v>
      </c>
      <c r="F11" s="8" t="s">
        <v>3</v>
      </c>
      <c r="G11" s="1"/>
    </row>
    <row r="12" spans="1:7" ht="15" customHeight="1" x14ac:dyDescent="0.25">
      <c r="A12" s="1"/>
      <c r="B12" s="82" t="s">
        <v>32</v>
      </c>
      <c r="C12" s="83"/>
      <c r="D12" s="89"/>
      <c r="E12" s="9">
        <v>0</v>
      </c>
      <c r="F12" s="8" t="s">
        <v>3</v>
      </c>
      <c r="G12" s="1"/>
    </row>
    <row r="13" spans="1:7" ht="15" customHeight="1" x14ac:dyDescent="0.25">
      <c r="A13" s="1"/>
      <c r="B13" s="79" t="s">
        <v>31</v>
      </c>
      <c r="C13" s="80"/>
      <c r="D13" s="81"/>
      <c r="E13" s="9">
        <v>0</v>
      </c>
      <c r="F13" s="8" t="s">
        <v>3</v>
      </c>
      <c r="G13" s="1"/>
    </row>
    <row r="14" spans="1:7" ht="15" customHeight="1" x14ac:dyDescent="0.25">
      <c r="A14" s="1"/>
      <c r="B14" s="79" t="s">
        <v>34</v>
      </c>
      <c r="C14" s="80"/>
      <c r="D14" s="81"/>
      <c r="E14" s="9">
        <v>0</v>
      </c>
      <c r="F14" s="8" t="s">
        <v>3</v>
      </c>
      <c r="G14" s="1"/>
    </row>
    <row r="15" spans="1:7" ht="15" customHeight="1" x14ac:dyDescent="0.25">
      <c r="A15" s="1"/>
      <c r="B15" s="79" t="s">
        <v>33</v>
      </c>
      <c r="C15" s="80"/>
      <c r="D15" s="81"/>
      <c r="E15" s="9">
        <v>0</v>
      </c>
      <c r="F15" s="8" t="s">
        <v>3</v>
      </c>
      <c r="G15" s="1"/>
    </row>
    <row r="16" spans="1:7" ht="15" customHeight="1" x14ac:dyDescent="0.25">
      <c r="A16" s="1"/>
      <c r="B16" s="79" t="s">
        <v>20</v>
      </c>
      <c r="C16" s="80"/>
      <c r="D16" s="81"/>
      <c r="E16" s="9">
        <f>SUM(E9:E15)*'Fane 14. Nøgletal'!C12</f>
        <v>1880461.0664533037</v>
      </c>
      <c r="F16" s="8" t="s">
        <v>3</v>
      </c>
      <c r="G16" s="1"/>
    </row>
    <row r="17" spans="1:7" ht="15" customHeight="1" x14ac:dyDescent="0.25">
      <c r="A17" s="1"/>
      <c r="B17" s="79" t="s">
        <v>10</v>
      </c>
      <c r="C17" s="80"/>
      <c r="D17" s="81"/>
      <c r="E17" s="9">
        <f>-SUM(E9:E16)*'Fane 5. Individuelt eff. krav'!G11</f>
        <v>-662591.05547984771</v>
      </c>
      <c r="F17" s="8" t="s">
        <v>3</v>
      </c>
      <c r="G17" s="1"/>
    </row>
    <row r="18" spans="1:7" ht="15" customHeight="1" x14ac:dyDescent="0.25">
      <c r="A18" s="1"/>
      <c r="B18" s="79" t="s">
        <v>29</v>
      </c>
      <c r="C18" s="80"/>
      <c r="D18" s="81"/>
      <c r="E18" s="9">
        <f>-'Fane 4.1. Gen. krav - drift'!G28</f>
        <v>-769154.90978014248</v>
      </c>
      <c r="F18" s="8" t="s">
        <v>3</v>
      </c>
      <c r="G18" s="1"/>
    </row>
    <row r="19" spans="1:7" ht="15" customHeight="1" x14ac:dyDescent="0.25">
      <c r="A19" s="1"/>
      <c r="B19" s="79" t="s">
        <v>30</v>
      </c>
      <c r="C19" s="80"/>
      <c r="D19" s="81"/>
      <c r="E19" s="9">
        <f>-'Fane 4.2. Gen. krav - anlæg'!G25</f>
        <v>-1725411.2224134502</v>
      </c>
      <c r="F19" s="8" t="s">
        <v>3</v>
      </c>
      <c r="G19" s="1"/>
    </row>
    <row r="20" spans="1:7" ht="15" customHeight="1" x14ac:dyDescent="0.25">
      <c r="A20" s="1"/>
      <c r="B20" s="54" t="s">
        <v>22</v>
      </c>
      <c r="C20" s="55"/>
      <c r="D20" s="57"/>
      <c r="E20" s="10">
        <f>SUM(E9:E19)</f>
        <v>94178180.348490715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6" t="s">
        <v>13</v>
      </c>
      <c r="C22" s="87"/>
      <c r="D22" s="90"/>
      <c r="E22" s="10">
        <v>5681175.0720017105</v>
      </c>
      <c r="F22" s="11" t="s">
        <v>3</v>
      </c>
      <c r="G22" s="1"/>
    </row>
    <row r="23" spans="1:7" ht="15" customHeight="1" x14ac:dyDescent="0.25">
      <c r="A23" s="1"/>
      <c r="B23" s="91" t="s">
        <v>114</v>
      </c>
      <c r="C23" s="92"/>
      <c r="D23" s="93"/>
      <c r="E23" s="32"/>
      <c r="F23" s="32"/>
      <c r="G23" s="1"/>
    </row>
    <row r="24" spans="1:7" ht="15" customHeight="1" x14ac:dyDescent="0.25">
      <c r="A24" s="1"/>
      <c r="B24" s="54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2" t="s">
        <v>109</v>
      </c>
      <c r="C26" s="83"/>
      <c r="D26" s="89"/>
      <c r="E26" s="9">
        <v>0</v>
      </c>
      <c r="F26" s="8" t="s">
        <v>3</v>
      </c>
      <c r="G26" s="1"/>
    </row>
    <row r="27" spans="1:7" ht="15" customHeight="1" x14ac:dyDescent="0.25">
      <c r="A27" s="1"/>
      <c r="B27" s="82" t="s">
        <v>110</v>
      </c>
      <c r="C27" s="83"/>
      <c r="D27" s="83"/>
      <c r="E27" s="9">
        <v>0</v>
      </c>
      <c r="F27" s="8" t="s">
        <v>3</v>
      </c>
      <c r="G27" s="1"/>
    </row>
    <row r="28" spans="1:7" ht="15" customHeight="1" x14ac:dyDescent="0.25">
      <c r="A28" s="1"/>
      <c r="B28" s="84" t="s">
        <v>115</v>
      </c>
      <c r="C28" s="85"/>
      <c r="D28" s="85"/>
      <c r="E28" s="46">
        <v>0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6" t="s">
        <v>260</v>
      </c>
      <c r="C30" s="87"/>
      <c r="D30" s="87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6" t="s">
        <v>262</v>
      </c>
      <c r="C32" s="87"/>
      <c r="D32" s="87"/>
      <c r="E32" s="46">
        <v>-1421014.5282987282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6" t="s">
        <v>264</v>
      </c>
      <c r="C34" s="87"/>
      <c r="D34" s="90"/>
      <c r="E34" s="10">
        <v>56642.509579873644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98494983.401773572</v>
      </c>
      <c r="F35" s="13" t="s">
        <v>3</v>
      </c>
      <c r="G35" s="1"/>
    </row>
    <row r="36" spans="1:7" ht="27" customHeight="1" x14ac:dyDescent="0.25">
      <c r="A36" s="1"/>
      <c r="B36" s="79" t="s">
        <v>218</v>
      </c>
      <c r="C36" s="80"/>
      <c r="D36" s="80"/>
      <c r="E36" s="80"/>
      <c r="F36" s="8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8" t="s">
        <v>163</v>
      </c>
      <c r="C2" s="88"/>
      <c r="D2" s="88"/>
      <c r="E2" s="88"/>
      <c r="F2" s="88"/>
      <c r="G2" s="88"/>
      <c r="H2" s="88"/>
      <c r="I2" s="1"/>
    </row>
    <row r="3" spans="1:9" ht="28.5" customHeight="1" x14ac:dyDescent="0.25">
      <c r="A3" s="1"/>
      <c r="B3" s="88"/>
      <c r="C3" s="88"/>
      <c r="D3" s="88"/>
      <c r="E3" s="88"/>
      <c r="F3" s="88"/>
      <c r="G3" s="88"/>
      <c r="H3" s="88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91" t="s">
        <v>67</v>
      </c>
      <c r="C5" s="92"/>
      <c r="D5" s="92"/>
      <c r="E5" s="92"/>
      <c r="F5" s="92"/>
      <c r="G5" s="92"/>
      <c r="H5" s="93"/>
      <c r="I5" s="1"/>
    </row>
    <row r="6" spans="1:9" x14ac:dyDescent="0.25">
      <c r="A6" s="1"/>
      <c r="B6" s="94" t="s">
        <v>56</v>
      </c>
      <c r="C6" s="95"/>
      <c r="D6" s="95"/>
      <c r="E6" s="95"/>
      <c r="F6" s="96"/>
      <c r="G6" s="24">
        <v>37929744.954657242</v>
      </c>
      <c r="H6" s="14" t="s">
        <v>3</v>
      </c>
      <c r="I6" s="1"/>
    </row>
    <row r="7" spans="1:9" x14ac:dyDescent="0.25">
      <c r="A7" s="1"/>
      <c r="B7" s="79" t="s">
        <v>181</v>
      </c>
      <c r="C7" s="80"/>
      <c r="D7" s="80"/>
      <c r="E7" s="80"/>
      <c r="F7" s="81"/>
      <c r="G7" s="24">
        <v>0</v>
      </c>
      <c r="H7" s="14" t="s">
        <v>3</v>
      </c>
      <c r="I7" s="1"/>
    </row>
    <row r="8" spans="1:9" x14ac:dyDescent="0.25">
      <c r="A8" s="1"/>
      <c r="B8" s="94" t="s">
        <v>57</v>
      </c>
      <c r="C8" s="95"/>
      <c r="D8" s="95"/>
      <c r="E8" s="95"/>
      <c r="F8" s="96"/>
      <c r="G8" s="24">
        <f>SUM(G6:G7)*'Fane 14. Nøgletal'!C27</f>
        <v>758594.89909314481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1" t="s">
        <v>68</v>
      </c>
      <c r="C11" s="92"/>
      <c r="D11" s="92"/>
      <c r="E11" s="92"/>
      <c r="F11" s="92"/>
      <c r="G11" s="92"/>
      <c r="H11" s="93"/>
      <c r="I11" s="1"/>
    </row>
    <row r="12" spans="1:9" x14ac:dyDescent="0.25">
      <c r="A12" s="1"/>
      <c r="B12" s="94" t="s">
        <v>58</v>
      </c>
      <c r="C12" s="95"/>
      <c r="D12" s="95"/>
      <c r="E12" s="95"/>
      <c r="F12" s="96"/>
      <c r="G12" s="24">
        <f>(G6-G8)*(1+'Fane 14. Nøgletal'!C10)</f>
        <v>37821645.181536473</v>
      </c>
      <c r="H12" s="14" t="s">
        <v>3</v>
      </c>
      <c r="I12" s="1"/>
    </row>
    <row r="13" spans="1:9" ht="15" customHeight="1" x14ac:dyDescent="0.25">
      <c r="A13" s="1"/>
      <c r="B13" s="94" t="s">
        <v>182</v>
      </c>
      <c r="C13" s="95"/>
      <c r="D13" s="95"/>
      <c r="E13" s="95"/>
      <c r="F13" s="96"/>
      <c r="G13" s="24">
        <v>-69016.65188274892</v>
      </c>
      <c r="H13" s="14" t="s">
        <v>3</v>
      </c>
      <c r="I13" s="1"/>
    </row>
    <row r="14" spans="1:9" x14ac:dyDescent="0.25">
      <c r="A14" s="1"/>
      <c r="B14" s="79" t="s">
        <v>179</v>
      </c>
      <c r="C14" s="80"/>
      <c r="D14" s="80"/>
      <c r="E14" s="80"/>
      <c r="F14" s="81"/>
      <c r="G14" s="24">
        <v>0</v>
      </c>
      <c r="H14" s="14" t="s">
        <v>3</v>
      </c>
      <c r="I14" s="1"/>
    </row>
    <row r="15" spans="1:9" x14ac:dyDescent="0.25">
      <c r="A15" s="1"/>
      <c r="B15" s="97" t="s">
        <v>59</v>
      </c>
      <c r="C15" s="98"/>
      <c r="D15" s="98"/>
      <c r="E15" s="98"/>
      <c r="F15" s="99"/>
      <c r="G15" s="24">
        <v>0</v>
      </c>
      <c r="H15" s="14" t="s">
        <v>3</v>
      </c>
      <c r="I15" s="1"/>
    </row>
    <row r="16" spans="1:9" x14ac:dyDescent="0.25">
      <c r="A16" s="1"/>
      <c r="B16" s="94" t="s">
        <v>60</v>
      </c>
      <c r="C16" s="95"/>
      <c r="D16" s="95"/>
      <c r="E16" s="95"/>
      <c r="F16" s="96"/>
      <c r="G16" s="24">
        <f>SUM(G12:G15)*'Fane 14. Nøgletal'!C27</f>
        <v>755052.57059307455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1" t="s">
        <v>69</v>
      </c>
      <c r="C19" s="92"/>
      <c r="D19" s="92"/>
      <c r="E19" s="92"/>
      <c r="F19" s="92"/>
      <c r="G19" s="92"/>
      <c r="H19" s="93"/>
      <c r="I19" s="1"/>
    </row>
    <row r="20" spans="1:9" x14ac:dyDescent="0.25">
      <c r="A20" s="1"/>
      <c r="B20" s="94" t="s">
        <v>61</v>
      </c>
      <c r="C20" s="95"/>
      <c r="D20" s="95"/>
      <c r="E20" s="95"/>
      <c r="F20" s="96"/>
      <c r="G20" s="24">
        <f>(SUM(G12:G13,G15)-(G16))*(1+'Fane 14. Nøgletal'!C10)</f>
        <v>37645033.538344219</v>
      </c>
      <c r="H20" s="14" t="s">
        <v>3</v>
      </c>
      <c r="I20" s="1"/>
    </row>
    <row r="21" spans="1:9" x14ac:dyDescent="0.25">
      <c r="A21" s="1"/>
      <c r="B21" s="97" t="s">
        <v>62</v>
      </c>
      <c r="C21" s="98"/>
      <c r="D21" s="98"/>
      <c r="E21" s="98"/>
      <c r="F21" s="99"/>
      <c r="G21" s="24">
        <v>0</v>
      </c>
      <c r="H21" s="14" t="s">
        <v>3</v>
      </c>
      <c r="I21" s="1"/>
    </row>
    <row r="22" spans="1:9" x14ac:dyDescent="0.25">
      <c r="A22" s="1"/>
      <c r="B22" s="94" t="s">
        <v>63</v>
      </c>
      <c r="C22" s="95"/>
      <c r="D22" s="95"/>
      <c r="E22" s="95"/>
      <c r="F22" s="96"/>
      <c r="G22" s="24">
        <f>SUM(G20:G21)*'Fane 14. Nøgletal'!C27</f>
        <v>752900.67076688434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1" t="s">
        <v>70</v>
      </c>
      <c r="C25" s="92"/>
      <c r="D25" s="92"/>
      <c r="E25" s="92"/>
      <c r="F25" s="92"/>
      <c r="G25" s="92"/>
      <c r="H25" s="93"/>
      <c r="I25" s="1"/>
    </row>
    <row r="26" spans="1:9" x14ac:dyDescent="0.25">
      <c r="A26" s="1"/>
      <c r="B26" s="94" t="s">
        <v>64</v>
      </c>
      <c r="C26" s="95"/>
      <c r="D26" s="95"/>
      <c r="E26" s="95"/>
      <c r="F26" s="96"/>
      <c r="G26" s="24">
        <f>(G20+G21-G22)*(1+'Fane 14. Nøgletal'!C12)</f>
        <v>37618907.88506861</v>
      </c>
      <c r="H26" s="14" t="s">
        <v>3</v>
      </c>
      <c r="I26" s="1"/>
    </row>
    <row r="27" spans="1:9" x14ac:dyDescent="0.25">
      <c r="A27" s="1"/>
      <c r="B27" s="97" t="s">
        <v>65</v>
      </c>
      <c r="C27" s="98"/>
      <c r="D27" s="98"/>
      <c r="E27" s="98"/>
      <c r="F27" s="99"/>
      <c r="G27" s="24">
        <v>838837.60393851006</v>
      </c>
      <c r="H27" s="14" t="s">
        <v>3</v>
      </c>
      <c r="I27" s="1"/>
    </row>
    <row r="28" spans="1:9" x14ac:dyDescent="0.25">
      <c r="A28" s="1"/>
      <c r="B28" s="94" t="s">
        <v>66</v>
      </c>
      <c r="C28" s="95"/>
      <c r="D28" s="95"/>
      <c r="E28" s="95"/>
      <c r="F28" s="96"/>
      <c r="G28" s="24">
        <f>(G26+G27)*'Fane 14. Nøgletal'!C27</f>
        <v>769154.90978014248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1" t="s">
        <v>73</v>
      </c>
      <c r="C31" s="92"/>
      <c r="D31" s="92"/>
      <c r="E31" s="92"/>
      <c r="F31" s="92"/>
      <c r="G31" s="92"/>
      <c r="H31" s="93"/>
      <c r="I31" s="1"/>
    </row>
    <row r="32" spans="1:9" x14ac:dyDescent="0.25">
      <c r="A32" s="1"/>
      <c r="B32" s="94" t="s">
        <v>74</v>
      </c>
      <c r="C32" s="95"/>
      <c r="D32" s="95"/>
      <c r="E32" s="95"/>
      <c r="F32" s="96"/>
      <c r="G32" s="24">
        <f>(G26+G27-G28)*(1+'Fane 14. Nøgletal'!C12)</f>
        <v>38431055.813637748</v>
      </c>
      <c r="H32" s="14" t="s">
        <v>3</v>
      </c>
      <c r="I32" s="1"/>
    </row>
    <row r="33" spans="1:9" x14ac:dyDescent="0.25">
      <c r="A33" s="1"/>
      <c r="B33" s="94" t="s">
        <v>230</v>
      </c>
      <c r="C33" s="95"/>
      <c r="D33" s="95"/>
      <c r="E33" s="95"/>
      <c r="F33" s="96"/>
      <c r="G33" s="24">
        <f>SUM('Fane 2.1. Økonomisk ramme 2021'!C10,'Fane 2.1. Økonomisk ramme 2021'!C12,'Fane 2.1. Økonomisk ramme 2021'!C14)*(1+'Fane 14. Nøgletal'!C13)</f>
        <v>739630.00398672</v>
      </c>
      <c r="H33" s="14" t="s">
        <v>3</v>
      </c>
      <c r="I33" s="1"/>
    </row>
    <row r="34" spans="1:9" x14ac:dyDescent="0.25">
      <c r="A34" s="1"/>
      <c r="B34" s="94" t="s">
        <v>75</v>
      </c>
      <c r="C34" s="95"/>
      <c r="D34" s="95"/>
      <c r="E34" s="95"/>
      <c r="F34" s="96"/>
      <c r="G34" s="24">
        <f>(G32+G33)*'Fane 14. Nøgletal'!C27</f>
        <v>783413.71635248931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1" t="s">
        <v>100</v>
      </c>
      <c r="C37" s="92"/>
      <c r="D37" s="92"/>
      <c r="E37" s="92"/>
      <c r="F37" s="92"/>
      <c r="G37" s="92"/>
      <c r="H37" s="93"/>
      <c r="I37" s="1"/>
    </row>
    <row r="38" spans="1:9" x14ac:dyDescent="0.25">
      <c r="A38" s="1"/>
      <c r="B38" s="94" t="s">
        <v>99</v>
      </c>
      <c r="C38" s="95"/>
      <c r="D38" s="95"/>
      <c r="E38" s="95"/>
      <c r="F38" s="96"/>
      <c r="G38" s="24">
        <f>(G32+G33-G34)*(1+'Fane 14. Nøgletal'!C13)</f>
        <v>38855596.820907488</v>
      </c>
      <c r="H38" s="14" t="s">
        <v>3</v>
      </c>
      <c r="I38" s="1"/>
    </row>
    <row r="39" spans="1:9" x14ac:dyDescent="0.25">
      <c r="A39" s="1"/>
      <c r="B39" s="94" t="s">
        <v>117</v>
      </c>
      <c r="C39" s="95"/>
      <c r="D39" s="95"/>
      <c r="E39" s="95"/>
      <c r="F39" s="96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4" t="s">
        <v>76</v>
      </c>
      <c r="C40" s="95"/>
      <c r="D40" s="95"/>
      <c r="E40" s="95"/>
      <c r="F40" s="96"/>
      <c r="G40" s="24">
        <f>(G38+G39)*'Fane 14. Nøgletal'!C27</f>
        <v>777111.93641814974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1" t="s">
        <v>101</v>
      </c>
      <c r="C43" s="92"/>
      <c r="D43" s="92"/>
      <c r="E43" s="92"/>
      <c r="F43" s="92"/>
      <c r="G43" s="92"/>
      <c r="H43" s="93"/>
      <c r="I43" s="1"/>
    </row>
    <row r="44" spans="1:9" x14ac:dyDescent="0.25">
      <c r="A44" s="1"/>
      <c r="B44" s="94" t="s">
        <v>98</v>
      </c>
      <c r="C44" s="95"/>
      <c r="D44" s="95"/>
      <c r="E44" s="95"/>
      <c r="F44" s="96"/>
      <c r="G44" s="24">
        <f>(G38+G39-G40)*(1+'Fane 14. Nøgletal'!C13)</f>
        <v>38543042.400080107</v>
      </c>
      <c r="H44" s="14" t="s">
        <v>3</v>
      </c>
      <c r="I44" s="1"/>
    </row>
    <row r="45" spans="1:9" x14ac:dyDescent="0.25">
      <c r="A45" s="1"/>
      <c r="B45" s="94" t="s">
        <v>118</v>
      </c>
      <c r="C45" s="95"/>
      <c r="D45" s="95"/>
      <c r="E45" s="95"/>
      <c r="F45" s="96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4" t="s">
        <v>77</v>
      </c>
      <c r="C46" s="95"/>
      <c r="D46" s="95"/>
      <c r="E46" s="95"/>
      <c r="F46" s="96"/>
      <c r="G46" s="24">
        <f>(G44+G45)*'Fane 14. Nøgletal'!C27</f>
        <v>770860.84800160211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1" t="s">
        <v>231</v>
      </c>
      <c r="C51" s="92"/>
      <c r="D51" s="92"/>
      <c r="E51" s="92"/>
      <c r="F51" s="92"/>
      <c r="G51" s="92"/>
      <c r="H51" s="93"/>
      <c r="I51" s="1"/>
    </row>
    <row r="52" spans="1:9" x14ac:dyDescent="0.25">
      <c r="A52" s="1"/>
      <c r="B52" s="94" t="s">
        <v>232</v>
      </c>
      <c r="C52" s="95"/>
      <c r="D52" s="95"/>
      <c r="E52" s="95"/>
      <c r="F52" s="96"/>
      <c r="G52" s="24">
        <f>(G44+G45-G46)*(1+'Fane 14. Nøgletal'!C13)</f>
        <v>38233002.167013869</v>
      </c>
      <c r="H52" s="14" t="s">
        <v>3</v>
      </c>
      <c r="I52" s="1"/>
    </row>
    <row r="53" spans="1:9" x14ac:dyDescent="0.25">
      <c r="A53" s="1"/>
      <c r="B53" s="94" t="s">
        <v>233</v>
      </c>
      <c r="C53" s="95"/>
      <c r="D53" s="95"/>
      <c r="E53" s="95"/>
      <c r="F53" s="96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4" t="s">
        <v>234</v>
      </c>
      <c r="C54" s="95"/>
      <c r="D54" s="95"/>
      <c r="E54" s="95"/>
      <c r="F54" s="96"/>
      <c r="G54" s="24">
        <f>(G52+G53)*'Fane 14. Nøgletal'!C27</f>
        <v>764660.04334027739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00" t="s">
        <v>164</v>
      </c>
      <c r="C1" s="100"/>
      <c r="D1" s="100"/>
      <c r="E1" s="100"/>
      <c r="F1" s="100"/>
      <c r="G1" s="100"/>
      <c r="H1" s="100"/>
      <c r="I1" s="1"/>
    </row>
    <row r="2" spans="1:9" ht="15" customHeight="1" x14ac:dyDescent="0.25">
      <c r="A2" s="1"/>
      <c r="B2" s="100"/>
      <c r="C2" s="100"/>
      <c r="D2" s="100"/>
      <c r="E2" s="100"/>
      <c r="F2" s="100"/>
      <c r="G2" s="100"/>
      <c r="H2" s="100"/>
      <c r="I2" s="1"/>
    </row>
    <row r="3" spans="1:9" ht="15" customHeight="1" x14ac:dyDescent="0.25">
      <c r="A3" s="1"/>
      <c r="B3" s="101"/>
      <c r="C3" s="101"/>
      <c r="D3" s="101"/>
      <c r="E3" s="101"/>
      <c r="F3" s="101"/>
      <c r="G3" s="101"/>
      <c r="H3" s="101"/>
      <c r="I3" s="1"/>
    </row>
    <row r="4" spans="1:9" x14ac:dyDescent="0.25">
      <c r="A4" s="1"/>
      <c r="B4" s="91" t="s">
        <v>71</v>
      </c>
      <c r="C4" s="92"/>
      <c r="D4" s="92"/>
      <c r="E4" s="92"/>
      <c r="F4" s="92"/>
      <c r="G4" s="92"/>
      <c r="H4" s="93"/>
      <c r="I4" s="1"/>
    </row>
    <row r="5" spans="1:9" x14ac:dyDescent="0.25">
      <c r="A5" s="1"/>
      <c r="B5" s="94" t="s">
        <v>78</v>
      </c>
      <c r="C5" s="95"/>
      <c r="D5" s="95"/>
      <c r="E5" s="95"/>
      <c r="F5" s="96"/>
      <c r="G5" s="24">
        <v>54065227.474607795</v>
      </c>
      <c r="H5" s="14" t="s">
        <v>3</v>
      </c>
      <c r="I5" s="1"/>
    </row>
    <row r="6" spans="1:9" x14ac:dyDescent="0.25">
      <c r="A6" s="1"/>
      <c r="B6" s="94" t="s">
        <v>72</v>
      </c>
      <c r="C6" s="95"/>
      <c r="D6" s="95"/>
      <c r="E6" s="95"/>
      <c r="F6" s="96"/>
      <c r="G6" s="24">
        <f>G5*'Fane 14. Nøgletal'!C18</f>
        <v>491993.57001893094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1" t="s">
        <v>79</v>
      </c>
      <c r="C9" s="92"/>
      <c r="D9" s="92"/>
      <c r="E9" s="92"/>
      <c r="F9" s="92"/>
      <c r="G9" s="92"/>
      <c r="H9" s="93"/>
      <c r="I9" s="1"/>
    </row>
    <row r="10" spans="1:9" x14ac:dyDescent="0.25">
      <c r="A10" s="1"/>
      <c r="B10" s="94" t="s">
        <v>80</v>
      </c>
      <c r="C10" s="95"/>
      <c r="D10" s="95"/>
      <c r="E10" s="95"/>
      <c r="F10" s="96"/>
      <c r="G10" s="24">
        <f>(G5-G6)*(1+'Fane 14. Nøgletal'!C10)</f>
        <v>54510765.497919172</v>
      </c>
      <c r="H10" s="14" t="s">
        <v>3</v>
      </c>
      <c r="I10" s="1"/>
    </row>
    <row r="11" spans="1:9" x14ac:dyDescent="0.25">
      <c r="A11" s="1"/>
      <c r="B11" s="94" t="s">
        <v>183</v>
      </c>
      <c r="C11" s="95"/>
      <c r="D11" s="95"/>
      <c r="E11" s="95"/>
      <c r="F11" s="96"/>
      <c r="G11" s="24">
        <v>-2810114.2985806675</v>
      </c>
      <c r="H11" s="14" t="s">
        <v>3</v>
      </c>
      <c r="I11" s="1"/>
    </row>
    <row r="12" spans="1:9" x14ac:dyDescent="0.25">
      <c r="A12" s="1"/>
      <c r="B12" s="97" t="s">
        <v>81</v>
      </c>
      <c r="C12" s="98"/>
      <c r="D12" s="98"/>
      <c r="E12" s="98"/>
      <c r="F12" s="99"/>
      <c r="G12" s="24">
        <v>0</v>
      </c>
      <c r="H12" s="14" t="s">
        <v>3</v>
      </c>
      <c r="I12" s="1"/>
    </row>
    <row r="13" spans="1:9" x14ac:dyDescent="0.25">
      <c r="A13" s="1"/>
      <c r="B13" s="94" t="s">
        <v>82</v>
      </c>
      <c r="C13" s="95"/>
      <c r="D13" s="95"/>
      <c r="E13" s="95"/>
      <c r="F13" s="96"/>
      <c r="G13" s="24">
        <f>SUM(G10:G12)*'Fane 14. Nøgletal'!C19</f>
        <v>915101.52622829156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1" t="s">
        <v>83</v>
      </c>
      <c r="C16" s="92"/>
      <c r="D16" s="92"/>
      <c r="E16" s="92"/>
      <c r="F16" s="92"/>
      <c r="G16" s="92"/>
      <c r="H16" s="93"/>
      <c r="I16" s="1"/>
    </row>
    <row r="17" spans="1:9" x14ac:dyDescent="0.25">
      <c r="A17" s="1"/>
      <c r="B17" s="94" t="s">
        <v>84</v>
      </c>
      <c r="C17" s="95"/>
      <c r="D17" s="95"/>
      <c r="E17" s="95"/>
      <c r="F17" s="96"/>
      <c r="G17" s="24">
        <f>(SUM(G10:G12)-G13)*(1+'Fane 14. Nøgletal'!C10)</f>
        <v>51674296.792389639</v>
      </c>
      <c r="H17" s="14" t="s">
        <v>3</v>
      </c>
      <c r="I17" s="1"/>
    </row>
    <row r="18" spans="1:9" x14ac:dyDescent="0.25">
      <c r="A18" s="1"/>
      <c r="B18" s="97" t="s">
        <v>85</v>
      </c>
      <c r="C18" s="98"/>
      <c r="D18" s="98"/>
      <c r="E18" s="98"/>
      <c r="F18" s="99"/>
      <c r="G18" s="24">
        <v>178057.13301467997</v>
      </c>
      <c r="H18" s="14" t="s">
        <v>3</v>
      </c>
      <c r="I18" s="1"/>
    </row>
    <row r="19" spans="1:9" x14ac:dyDescent="0.25">
      <c r="A19" s="1"/>
      <c r="B19" s="94" t="s">
        <v>86</v>
      </c>
      <c r="C19" s="95"/>
      <c r="D19" s="95"/>
      <c r="E19" s="95"/>
      <c r="F19" s="96"/>
      <c r="G19" s="24">
        <f>G17*'Fane 14. Nøgletal'!C19+G18*'Fane 14. Nøgletal'!C20</f>
        <v>916184.15028252441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1" t="s">
        <v>87</v>
      </c>
      <c r="C22" s="92"/>
      <c r="D22" s="92"/>
      <c r="E22" s="92"/>
      <c r="F22" s="92"/>
      <c r="G22" s="92"/>
      <c r="H22" s="93"/>
      <c r="I22" s="1"/>
    </row>
    <row r="23" spans="1:9" x14ac:dyDescent="0.25">
      <c r="A23" s="1"/>
      <c r="B23" s="94" t="s">
        <v>88</v>
      </c>
      <c r="C23" s="95"/>
      <c r="D23" s="95"/>
      <c r="E23" s="95"/>
      <c r="F23" s="96"/>
      <c r="G23" s="24">
        <f>(G17+G18-G19)*(1+'Fane 14. Nøgletal'!C12)</f>
        <v>51939612.319691695</v>
      </c>
      <c r="H23" s="14" t="s">
        <v>3</v>
      </c>
      <c r="I23" s="1"/>
    </row>
    <row r="24" spans="1:9" x14ac:dyDescent="0.25">
      <c r="A24" s="1"/>
      <c r="B24" s="97" t="s">
        <v>89</v>
      </c>
      <c r="C24" s="98"/>
      <c r="D24" s="98"/>
      <c r="E24" s="98"/>
      <c r="F24" s="99"/>
      <c r="G24" s="24">
        <v>8814303.9624720421</v>
      </c>
      <c r="H24" s="14" t="s">
        <v>3</v>
      </c>
      <c r="I24" s="1"/>
    </row>
    <row r="25" spans="1:9" x14ac:dyDescent="0.25">
      <c r="A25" s="1"/>
      <c r="B25" s="94" t="s">
        <v>90</v>
      </c>
      <c r="C25" s="95"/>
      <c r="D25" s="95"/>
      <c r="E25" s="95"/>
      <c r="F25" s="96"/>
      <c r="G25" s="24">
        <f>(G23+G24)*'Fane 14. Nøgletal'!C21</f>
        <v>1725411.2224134502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1" t="s">
        <v>91</v>
      </c>
      <c r="C28" s="92"/>
      <c r="D28" s="92"/>
      <c r="E28" s="92"/>
      <c r="F28" s="92"/>
      <c r="G28" s="92"/>
      <c r="H28" s="93"/>
      <c r="I28" s="1"/>
    </row>
    <row r="29" spans="1:9" x14ac:dyDescent="0.25">
      <c r="A29" s="1"/>
      <c r="B29" s="94" t="s">
        <v>92</v>
      </c>
      <c r="C29" s="95"/>
      <c r="D29" s="95"/>
      <c r="E29" s="95"/>
      <c r="F29" s="96"/>
      <c r="G29" s="24">
        <f>(G23+G24-G25)*(1+'Fane 14. Nøgletal'!C12)</f>
        <v>60191366.60942737</v>
      </c>
      <c r="H29" s="14" t="s">
        <v>3</v>
      </c>
      <c r="I29" s="1"/>
    </row>
    <row r="30" spans="1:9" x14ac:dyDescent="0.25">
      <c r="A30" s="1"/>
      <c r="B30" s="94" t="s">
        <v>235</v>
      </c>
      <c r="C30" s="95"/>
      <c r="D30" s="95"/>
      <c r="E30" s="95"/>
      <c r="F30" s="96"/>
      <c r="G30" s="24">
        <f>SUM('Fane 2.1. Økonomisk ramme 2021'!C11,'Fane 2.1. Økonomisk ramme 2021'!C13,'Fane 2.1. Økonomisk ramme 2021'!C15)*(1+'Fane 14. Nøgletal'!C13)</f>
        <v>18940252.606415</v>
      </c>
      <c r="H30" s="14" t="s">
        <v>3</v>
      </c>
      <c r="I30" s="1"/>
    </row>
    <row r="31" spans="1:9" x14ac:dyDescent="0.25">
      <c r="A31" s="1"/>
      <c r="B31" s="94" t="s">
        <v>93</v>
      </c>
      <c r="C31" s="95"/>
      <c r="D31" s="95"/>
      <c r="E31" s="95"/>
      <c r="F31" s="96"/>
      <c r="G31" s="24">
        <f>G29*'Fane 14. Nøgletal'!C21+G30*'Fane 14. Nøgletal'!C22</f>
        <v>2230291.75838415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1" t="s">
        <v>102</v>
      </c>
      <c r="C34" s="92"/>
      <c r="D34" s="92"/>
      <c r="E34" s="92"/>
      <c r="F34" s="92"/>
      <c r="G34" s="92"/>
      <c r="H34" s="93"/>
      <c r="I34" s="1"/>
    </row>
    <row r="35" spans="1:9" x14ac:dyDescent="0.25">
      <c r="A35" s="1"/>
      <c r="B35" s="94" t="s">
        <v>97</v>
      </c>
      <c r="C35" s="95"/>
      <c r="D35" s="95"/>
      <c r="E35" s="95"/>
      <c r="F35" s="96"/>
      <c r="G35" s="24">
        <f>(G29+G30-G31)*(1+'Fane 14. Nøgletal'!C13)</f>
        <v>77839523.652439207</v>
      </c>
      <c r="H35" s="14" t="s">
        <v>3</v>
      </c>
      <c r="I35" s="1"/>
    </row>
    <row r="36" spans="1:9" x14ac:dyDescent="0.25">
      <c r="A36" s="1"/>
      <c r="B36" s="94" t="s">
        <v>122</v>
      </c>
      <c r="C36" s="95"/>
      <c r="D36" s="95"/>
      <c r="E36" s="95"/>
      <c r="F36" s="96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4" t="s">
        <v>94</v>
      </c>
      <c r="C37" s="95"/>
      <c r="D37" s="95"/>
      <c r="E37" s="95"/>
      <c r="F37" s="96"/>
      <c r="G37" s="24">
        <f>(G35+G36)*'Fane 14. Nøgletal'!C22</f>
        <v>2140586.9004420782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1" t="s">
        <v>103</v>
      </c>
      <c r="C40" s="92"/>
      <c r="D40" s="92"/>
      <c r="E40" s="92"/>
      <c r="F40" s="92"/>
      <c r="G40" s="92"/>
      <c r="H40" s="93"/>
      <c r="I40" s="1"/>
    </row>
    <row r="41" spans="1:9" x14ac:dyDescent="0.25">
      <c r="A41" s="1"/>
      <c r="B41" s="94" t="s">
        <v>96</v>
      </c>
      <c r="C41" s="95"/>
      <c r="D41" s="95"/>
      <c r="E41" s="95"/>
      <c r="F41" s="96"/>
      <c r="G41" s="24">
        <f>(G35+G36-G37)*(1+'Fane 14. Nøgletal'!C13)</f>
        <v>76622463.780371487</v>
      </c>
      <c r="H41" s="14" t="s">
        <v>3</v>
      </c>
      <c r="I41" s="1"/>
    </row>
    <row r="42" spans="1:9" x14ac:dyDescent="0.25">
      <c r="A42" s="1"/>
      <c r="B42" s="94" t="s">
        <v>123</v>
      </c>
      <c r="C42" s="95"/>
      <c r="D42" s="95"/>
      <c r="E42" s="95"/>
      <c r="F42" s="96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4" t="s">
        <v>95</v>
      </c>
      <c r="C43" s="95"/>
      <c r="D43" s="95"/>
      <c r="E43" s="95"/>
      <c r="F43" s="96"/>
      <c r="G43" s="24">
        <f>(G41+G42)*'Fane 14. Nøgletal'!C22</f>
        <v>2107117.753960216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1" t="s">
        <v>240</v>
      </c>
      <c r="C46" s="92"/>
      <c r="D46" s="92"/>
      <c r="E46" s="92"/>
      <c r="F46" s="92"/>
      <c r="G46" s="92"/>
      <c r="H46" s="93"/>
      <c r="I46" s="1"/>
    </row>
    <row r="47" spans="1:9" x14ac:dyDescent="0.25">
      <c r="A47" s="1"/>
      <c r="B47" s="94" t="s">
        <v>241</v>
      </c>
      <c r="C47" s="95"/>
      <c r="D47" s="95"/>
      <c r="E47" s="95"/>
      <c r="F47" s="96"/>
      <c r="G47" s="24">
        <f>(G41+G42-G43)*(1+'Fane 14. Nøgletal'!C13)</f>
        <v>75424433.247933477</v>
      </c>
      <c r="H47" s="14" t="s">
        <v>3</v>
      </c>
      <c r="I47" s="1"/>
    </row>
    <row r="48" spans="1:9" x14ac:dyDescent="0.25">
      <c r="A48" s="1"/>
      <c r="B48" s="94" t="s">
        <v>242</v>
      </c>
      <c r="C48" s="95"/>
      <c r="D48" s="95"/>
      <c r="E48" s="95"/>
      <c r="F48" s="96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4" t="s">
        <v>243</v>
      </c>
      <c r="C49" s="95"/>
      <c r="D49" s="95"/>
      <c r="E49" s="95"/>
      <c r="F49" s="96"/>
      <c r="G49" s="24">
        <f>(G47+G48)*'Fane 14. Nøgletal'!C22</f>
        <v>2074171.9143181706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116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1" t="s">
        <v>10</v>
      </c>
      <c r="C8" s="92"/>
      <c r="D8" s="92"/>
      <c r="E8" s="92"/>
      <c r="F8" s="92"/>
      <c r="G8" s="92"/>
      <c r="H8" s="93"/>
      <c r="I8" s="1"/>
    </row>
    <row r="9" spans="1:9" x14ac:dyDescent="0.25">
      <c r="A9" s="1"/>
      <c r="B9" s="94" t="s">
        <v>104</v>
      </c>
      <c r="C9" s="95"/>
      <c r="D9" s="95"/>
      <c r="E9" s="95"/>
      <c r="F9" s="96"/>
      <c r="G9" s="23">
        <v>0</v>
      </c>
      <c r="H9" s="14"/>
      <c r="I9" s="1"/>
    </row>
    <row r="10" spans="1:9" x14ac:dyDescent="0.25">
      <c r="A10" s="1"/>
      <c r="B10" s="94" t="s">
        <v>105</v>
      </c>
      <c r="C10" s="95"/>
      <c r="D10" s="95"/>
      <c r="E10" s="95"/>
      <c r="F10" s="96"/>
      <c r="G10" s="23">
        <v>1.024634702972667E-2</v>
      </c>
      <c r="H10" s="14"/>
      <c r="I10" s="1"/>
    </row>
    <row r="11" spans="1:9" x14ac:dyDescent="0.25">
      <c r="A11" s="1"/>
      <c r="B11" s="94" t="s">
        <v>106</v>
      </c>
      <c r="C11" s="95"/>
      <c r="D11" s="95"/>
      <c r="E11" s="95"/>
      <c r="F11" s="96"/>
      <c r="G11" s="41">
        <v>6.8073021808104104E-3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9" t="s">
        <v>258</v>
      </c>
      <c r="C13" s="80"/>
      <c r="D13" s="80"/>
      <c r="E13" s="80"/>
      <c r="F13" s="80"/>
      <c r="G13" s="80"/>
      <c r="H13" s="81"/>
      <c r="I13" s="1"/>
    </row>
    <row r="14" spans="1:9" ht="14.25" customHeight="1" x14ac:dyDescent="0.25">
      <c r="A14" s="18"/>
      <c r="B14" s="102"/>
      <c r="C14" s="102"/>
      <c r="D14" s="102"/>
      <c r="E14" s="102"/>
      <c r="F14" s="102"/>
      <c r="G14" s="102"/>
      <c r="H14" s="102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2020-10-30T15:10:59Z</dcterms:modified>
</cp:coreProperties>
</file>