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olrød Spildevand AS (S08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E11" i="37"/>
  <c r="C14"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<sst xmlns="http://schemas.openxmlformats.org/spreadsheetml/2006/main" count="607" uniqueCount="289">
  <si>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</si>
  <si>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</si>
  <si>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</si>
  <si>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</si>
  <si>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</si>
  <si>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</si>
  <si>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</si>
  <si>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</si>
  <si>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</si>
  <si>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</si>
  <si>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</si>
  <si>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</si>
  <si>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</si>
  <si>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</si>
  <si>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</si>
  <si>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</si>
  <si>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</si>
  <si>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</si>
  <si>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</si>
  <si>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</si>
  <si>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</si>
  <si>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</si>
  <si>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</si>
  <si>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</si>
  <si>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</si>
  <si>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</si>
  <si>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</si>
  <si>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</si>
  <si>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</si>
  <si>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</si>
  <si>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</si>
  <si>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</si>
  <si>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</si>
  <si>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</si>
  <si>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</si>
  <si>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</si>
  <si>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</si>
  <si>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</si>
  <si>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</si>
  <si>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</si>
  <si>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</si>
  <si>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</si>
  <si>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</si>
  <si>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</si>
  <si>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</si>
  <si>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</si>
  <si>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</si>
  <si>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</si>
  <si>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</si>
  <si>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</si>
  <si>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</si>
  <si>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</si>
  <si>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</si>
  <si>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</si>
  <si>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</si>
  <si>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</si>
  <si>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</si>
  <si>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</si>
  <si>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</si>
  <si>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</si>
  <si>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</si>
  <si>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</si>
  <si>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</si>
  <si>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</si>
  <si>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</si>
  <si>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</si>
  <si>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</si>
  <si>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</si>
  <si>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</si>
  <si>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</si>
  <si>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</si>
  <si>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</si>
  <si>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</si>
  <si>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</si>
  <si>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</si>
  <si>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</si>
  <si>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</si>
  <si>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</si>
  <si>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</si>
  <si>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</si>
  <si>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</si>
  <si>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</si>
  <si>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</si>
  <si>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</si>
  <si>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</si>
  <si>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</si>
  <si>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</si>
  <si>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</si>
  <si>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</si>
  <si>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</si>
  <si>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</si>
  <si>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</si>
  <si>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</si>
  <si>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</si>
  <si>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</si>
  <si>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</si>
  <si>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</si>
  <si>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</si>
  <si>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</si>
  <si>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</si>
  <si>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</si>
  <si>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</si>
  <si>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</si>
  <si>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</si>
  <si>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</si>
  <si>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</si>
  <si>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</si>
  <si>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</si>
  <si>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</si>
  <si>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</si>
  <si>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</si>
  <si>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</si>
  <si>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</si>
  <si>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</si>
  <si>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</si>
  <si>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</si>
  <si>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</si>
  <si>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</si>
  <si>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</si>
  <si>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</si>
  <si>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</si>
  <si>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</si>
  <si>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</si>
  <si>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</si>
  <si>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</si>
  <si>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</si>
  <si>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</si>
  <si>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</si>
  <si>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</si>
  <si>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</si>
  <si>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</si>
  <si>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</si>
  <si>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</si>
  <si>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</si>
  <si>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</si>
  <si>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</si>
  <si>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</si>
  <si>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</si>
  <si>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</si>
  <si>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</si>
  <si>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</si>
  <si>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</si>
  <si>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</si>
  <si>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</si>
  <si>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</si>
  <si>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</si>
  <si>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</si>
  <si>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</si>
  <si>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</si>
  <si>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</si>
  <si>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</si>
  <si>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</si>
  <si>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</si>
  <si>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</si>
  <si>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</si>
  <si>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</si>
  <si>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</si>
  <si>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</si>
  <si>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</si>
  <si>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</si>
  <si>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</si>
  <si>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</si>
  <si>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</si>
  <si>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</si>
  <si>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</si>
  <si>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</si>
  <si>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</si>
  <si>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</si>
  <si>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</si>
  <si>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</si>
  <si>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</si>
  <si>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</si>
  <si>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</si>
  <si>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</si>
  <si>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</si>
  <si>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</si>
  <si>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</si>
  <si>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</si>
  <si>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</si>
  <si>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</si>
  <si>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</si>
  <si>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</si>
  <si>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</si>
  <si>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</si>
  <si>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</si>
  <si>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</si>
  <si>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</si>
  <si>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</si>
  <si>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</si>
  <si>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</si>
  <si>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</si>
  <si>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</si>
  <si>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</si>
  <si>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</si>
  <si>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</si>
  <si>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</si>
  <si>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</si>
  <si>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</si>
  <si>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</si>
  <si>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</si>
  <si>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</si>
  <si>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</si>
  <si>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</si>
  <si>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</si>
  <si>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</si>
  <si>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</si>
  <si>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</si>
  <si>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</si>
  <si>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</si>
  <si>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</si>
  <si>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</si>
  <si>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</si>
  <si>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</si>
  <si>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</si>
  <si>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</si>
  <si>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</si>
  <si>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</si>
  <si>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</si>
  <si>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</si>
  <si>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</si>
  <si>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</si>
  <si>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</si>
  <si>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</si>
  <si>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</si>
  <si>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</si>
  <si>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</si>
  <si>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</si>
  <si>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</si>
  <si>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</si>
  <si>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</si>
  <si>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</si>
  <si>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</si>
  <si>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</si>
  <si>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</si>
  <si>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</si>
  <si>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</si>
  <si>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</si>
  <si>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</si>
  <si>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</si>
  <si>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</si>
  <si>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</si>
  <si>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</si>
  <si>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</si>
  <si>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</si>
  <si>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</si>
  <si>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</si>
  <si>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</si>
  <si>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</si>
  <si>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</si>
  <si>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</si>
  <si>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</si>
  <si>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</si>
  <si>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</si>
  <si>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</si>
  <si>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</si>
  <si>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</si>
  <si>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</si>
  <si>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</si>
  <si>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</si>
  <si>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</si>
  <si>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</si>
  <si>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</si>
  <si>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</si>
  <si>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</si>
  <si>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</si>
  <si>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</si>
  <si>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</si>
  <si>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</si>
  <si>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</si>
  <si>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</si>
  <si>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</si>
  <si>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</si>
  <si>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</si>
  <si>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</si>
  <si>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</si>
  <si>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</si>
  <si>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</si>
  <si>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</si>
  <si>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</si>
  <si>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</si>
  <si>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Kloakovertagelser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</si>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</sst>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dSMaeNv1dN3xQuci0xU5d5alwRuRpNq+3FRFAhxINzmHs0X/tVhO0TRv4YzaPoJjoewrF/mC6GMIJXKOkMkNg==" saltValue="w/v2RrbtunWOEBKyGkH5q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426581</v>
      </c>
      <c r="D10" s="14" t="s">
        <v>3</v>
      </c>
      <c r="E10" s="1"/>
      <c r="F10" s="1"/>
    </row>
    <row r="11" spans="1:6" x14ac:dyDescent="0.25">
      <c r="A11" s="1"/>
      <c r="B11" s="94" t="s">
        <v>266</v>
      </c>
      <c r="C11" s="9">
        <v>75797</v>
      </c>
      <c r="D11" s="14" t="s">
        <v>3</v>
      </c>
      <c r="E11" s="1"/>
      <c r="F11" s="1"/>
    </row>
    <row r="12" spans="1:6" x14ac:dyDescent="0.25">
      <c r="A12" s="1"/>
      <c r="B12" s="94" t="s">
        <v>267</v>
      </c>
      <c r="C12" s="9">
        <v>276533</v>
      </c>
      <c r="D12" s="14" t="s">
        <v>3</v>
      </c>
      <c r="E12" s="1"/>
      <c r="F12" s="1"/>
    </row>
    <row r="13" spans="1:6" x14ac:dyDescent="0.25">
      <c r="A13" s="1"/>
      <c r="B13" s="94" t="s">
        <v>268</v>
      </c>
      <c r="C13" s="9">
        <v>71173</v>
      </c>
      <c r="D13" s="14" t="s">
        <v>3</v>
      </c>
      <c r="E13" s="1"/>
      <c r="F13" s="1"/>
    </row>
    <row r="14" spans="1:6" x14ac:dyDescent="0.25">
      <c r="A14" s="1"/>
      <c r="B14" s="32" t="s">
        <v>200</v>
      </c>
      <c r="C14" s="12">
        <f>SUM(C10:C13)</f>
        <v>850084</v>
      </c>
      <c r="D14" s="13" t="s">
        <v>3</v>
      </c>
      <c r="E14" s="1"/>
      <c r="F14" s="1"/>
    </row>
    <row r="15" spans="1:6" x14ac:dyDescent="0.25">
      <c r="A15" s="1"/>
      <c r="B15" s="32" t="s">
        <v>201</v>
      </c>
      <c r="C15" s="12">
        <f>C14*(1+'Fane 15. Nøgletal'!C15)^2</f>
        <v>911687.34325824003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7" t="s">
        <v>117</v>
      </c>
      <c r="C18" s="128"/>
      <c r="D18" s="129"/>
      <c r="E18" s="1"/>
      <c r="F18" s="1"/>
    </row>
    <row r="19" spans="1:6" x14ac:dyDescent="0.25">
      <c r="A19" s="1"/>
      <c r="B19" s="94" t="s">
        <v>99</v>
      </c>
      <c r="C19" s="9">
        <v>135782</v>
      </c>
      <c r="D19" s="14" t="s">
        <v>3</v>
      </c>
      <c r="E19" s="1"/>
      <c r="F19" s="1"/>
    </row>
    <row r="20" spans="1:6" x14ac:dyDescent="0.25">
      <c r="A20" s="1"/>
      <c r="B20" s="94" t="s">
        <v>129</v>
      </c>
      <c r="C20" s="9">
        <v>135782</v>
      </c>
      <c r="D20" s="14" t="s">
        <v>3</v>
      </c>
      <c r="E20" s="1"/>
      <c r="F20" s="1"/>
    </row>
    <row r="21" spans="1:6" x14ac:dyDescent="0.25">
      <c r="A21" s="1"/>
      <c r="B21" s="94" t="s">
        <v>155</v>
      </c>
      <c r="C21" s="9">
        <v>135782</v>
      </c>
      <c r="D21" s="14" t="s">
        <v>3</v>
      </c>
      <c r="E21" s="1"/>
      <c r="F21" s="1"/>
    </row>
    <row r="22" spans="1:6" x14ac:dyDescent="0.25">
      <c r="A22" s="1"/>
      <c r="B22" s="33" t="s">
        <v>202</v>
      </c>
      <c r="C22" s="9">
        <v>135782</v>
      </c>
      <c r="D22" s="40" t="s">
        <v>3</v>
      </c>
      <c r="E22" s="1"/>
      <c r="F22" s="1"/>
    </row>
    <row r="23" spans="1:6" x14ac:dyDescent="0.25">
      <c r="A23" s="1"/>
      <c r="B23" s="127"/>
      <c r="C23" s="128"/>
      <c r="D23" s="129"/>
      <c r="E23" s="1"/>
      <c r="F23" s="1"/>
    </row>
    <row r="24" spans="1:6" x14ac:dyDescent="0.25">
      <c r="A24" s="1"/>
      <c r="B24" s="1"/>
      <c r="C24" s="1"/>
      <c r="D24" s="1"/>
      <c r="E24" s="1"/>
      <c r="F24" s="1"/>
    </row>
    <row r="25" spans="1:6" x14ac:dyDescent="0.25">
      <c r="A25" s="1"/>
      <c r="B25" s="1"/>
      <c r="C25" s="1"/>
      <c r="D25" s="1"/>
      <c r="E25" s="1"/>
      <c r="F25" s="1"/>
    </row>
    <row r="26" spans="1:6" x14ac:dyDescent="0.25">
      <c r="A26" s="1"/>
      <c r="B26" s="127" t="s">
        <v>98</v>
      </c>
      <c r="C26" s="128"/>
      <c r="D26" s="129"/>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27"/>
      <c r="C31" s="128"/>
      <c r="D31" s="129"/>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w8LGCLgtORmyjIX84omahtXt2bmvb5jRsRkPQeUoc1obfYScaqUBwiznFrMrI4pYXFw8shc83dHpu+JR+8kCNw==" saltValue="1/7fdALAJnIKyn/AWTrml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-718860.93695494533</v>
      </c>
      <c r="F9" s="14" t="s">
        <v>3</v>
      </c>
      <c r="G9" s="1"/>
    </row>
    <row r="10" spans="1:7" x14ac:dyDescent="0.25">
      <c r="A10" s="1"/>
      <c r="B10" s="137" t="s">
        <v>263</v>
      </c>
      <c r="C10" s="138"/>
      <c r="D10" s="139"/>
      <c r="E10" s="9">
        <v>-718860.93695494533</v>
      </c>
      <c r="F10" s="14" t="s">
        <v>3</v>
      </c>
      <c r="G10" s="1"/>
    </row>
    <row r="11" spans="1:7" x14ac:dyDescent="0.25">
      <c r="A11" s="1"/>
      <c r="B11" s="32"/>
      <c r="C11" s="27"/>
      <c r="D11" s="27"/>
      <c r="E11" s="27"/>
      <c r="F11" s="19"/>
      <c r="G11" s="1"/>
    </row>
    <row r="12" spans="1:7" ht="84" customHeight="1" x14ac:dyDescent="0.25">
      <c r="A12" s="1"/>
      <c r="B12" s="130" t="s">
        <v>287</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281</v>
      </c>
      <c r="C15" s="138"/>
      <c r="D15" s="139"/>
      <c r="E15" s="9">
        <v>-645967.48079106212</v>
      </c>
      <c r="F15" s="14" t="s">
        <v>3</v>
      </c>
      <c r="G15" s="1"/>
    </row>
    <row r="16" spans="1:7" x14ac:dyDescent="0.25">
      <c r="A16" s="1"/>
      <c r="B16" s="137" t="s">
        <v>282</v>
      </c>
      <c r="C16" s="138"/>
      <c r="D16" s="139"/>
      <c r="E16" s="9">
        <v>-645967.48079106212</v>
      </c>
      <c r="F16" s="14" t="s">
        <v>3</v>
      </c>
      <c r="G16" s="1"/>
    </row>
    <row r="17" spans="1:7" x14ac:dyDescent="0.25">
      <c r="A17" s="1"/>
      <c r="B17" s="32"/>
      <c r="C17" s="27"/>
      <c r="D17" s="27"/>
      <c r="E17" s="27"/>
      <c r="F17" s="19"/>
      <c r="G17" s="1"/>
    </row>
    <row r="18" spans="1:7" ht="31.5" customHeight="1" x14ac:dyDescent="0.25">
      <c r="A18" s="1"/>
      <c r="B18" s="130" t="s">
        <v>288</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31977808.568870515</v>
      </c>
      <c r="F21" s="14" t="s">
        <v>3</v>
      </c>
      <c r="G21" s="1"/>
    </row>
    <row r="22" spans="1:7" x14ac:dyDescent="0.25">
      <c r="A22" s="1"/>
      <c r="B22" s="91" t="s">
        <v>207</v>
      </c>
      <c r="C22" s="92"/>
      <c r="D22" s="93"/>
      <c r="E22" s="9">
        <v>32570339</v>
      </c>
      <c r="F22" s="14" t="s">
        <v>3</v>
      </c>
      <c r="G22" s="1"/>
    </row>
    <row r="23" spans="1:7" x14ac:dyDescent="0.25">
      <c r="A23" s="1"/>
      <c r="B23" s="91" t="s">
        <v>33</v>
      </c>
      <c r="C23" s="92"/>
      <c r="D23" s="93"/>
      <c r="E23" s="9">
        <v>0</v>
      </c>
      <c r="F23" s="14" t="s">
        <v>3</v>
      </c>
      <c r="G23" s="1"/>
    </row>
    <row r="24" spans="1:7" x14ac:dyDescent="0.25">
      <c r="A24" s="1"/>
      <c r="B24" s="89" t="s">
        <v>269</v>
      </c>
      <c r="C24" s="90"/>
      <c r="D24" s="96"/>
      <c r="E24" s="72">
        <f>E21-(E22-E23)</f>
        <v>-592530.43112948537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283</v>
      </c>
      <c r="C27" s="128"/>
      <c r="D27" s="128"/>
      <c r="E27" s="128"/>
      <c r="F27" s="129"/>
      <c r="G27" s="1"/>
    </row>
    <row r="28" spans="1:7" x14ac:dyDescent="0.25">
      <c r="A28" s="1"/>
      <c r="B28" s="133" t="s">
        <v>284</v>
      </c>
      <c r="C28" s="134"/>
      <c r="D28" s="155"/>
      <c r="E28" s="73">
        <f>IF(AND(E9&gt;0,(E9+E24)&gt;0),0,IF(AND(E9&gt;0,(E9+E24)&lt;0),0,IF(AND(E9&lt;0,E24&gt;0,E10=0),0,IF(AND(E9&lt;0,E24&gt;0,ABS(E10)&lt;ABS(E24)),ABS(E16),IF(AND(E9&lt;0,E24&gt;0,ABS(E10)&gt;ABS(E24),ABS(E16)&gt;ABS(E24)),-(ABS(E16)-ABS(E24)),IF(AND(E9&lt;0,E24&gt;0,ABS(E10)&gt;ABS(E24),ABS(E16)&lt;ABS(E24)),E24-ABS(E16),IF(AND(E9&lt;0,E24&lt;0),E16,0)))))))</f>
        <v>-645967.48079106212</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6" t="s">
        <v>143</v>
      </c>
      <c r="C32" s="157"/>
      <c r="D32" s="158"/>
      <c r="E32" s="74">
        <f>IF(AND(E9&gt;0,(E9+E24)&gt;0),0,IF(AND(E9&gt;0,(E9+E24)&lt;0),(E9+E24),IF(AND(E9&lt;0,E24&lt;0),E24,0)))</f>
        <v>-592530.43112948537</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3">
        <f>E32/E33</f>
        <v>-148132.60778237134</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wbikFjYYGogd858T0Hs/93LTJ+0s+A99tS9xeFnvrFZNd6WxeHk+4f5dlaTW9YbU1ihIpRP7aInWziocTcZs1g==" saltValue="X/ksceAFheggUnYaEEeup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271</v>
      </c>
      <c r="C10" s="160"/>
      <c r="D10" s="160"/>
      <c r="E10" s="160"/>
      <c r="F10" s="161"/>
      <c r="G10" s="9">
        <v>0</v>
      </c>
      <c r="H10" s="9" t="s">
        <v>3</v>
      </c>
      <c r="I10" s="1"/>
    </row>
    <row r="11" spans="1:9" x14ac:dyDescent="0.25">
      <c r="A11" s="1"/>
      <c r="B11" s="159" t="s">
        <v>272</v>
      </c>
      <c r="C11" s="160"/>
      <c r="D11" s="160"/>
      <c r="E11" s="160"/>
      <c r="F11" s="161"/>
      <c r="G11" s="9">
        <v>0</v>
      </c>
      <c r="H11" s="9" t="s">
        <v>3</v>
      </c>
      <c r="I11" s="1"/>
    </row>
    <row r="12" spans="1:9" x14ac:dyDescent="0.25">
      <c r="A12" s="1"/>
      <c r="B12" s="159" t="s">
        <v>273</v>
      </c>
      <c r="C12" s="160"/>
      <c r="D12" s="160"/>
      <c r="E12" s="160"/>
      <c r="F12" s="161"/>
      <c r="G12" s="9">
        <v>0</v>
      </c>
      <c r="H12" s="9" t="s">
        <v>3</v>
      </c>
      <c r="I12" s="1"/>
    </row>
    <row r="13" spans="1:9" x14ac:dyDescent="0.25">
      <c r="A13" s="1"/>
      <c r="B13" s="159" t="s">
        <v>274</v>
      </c>
      <c r="C13" s="160"/>
      <c r="D13" s="160"/>
      <c r="E13" s="160"/>
      <c r="F13" s="161"/>
      <c r="G13" s="9">
        <v>0</v>
      </c>
      <c r="H13" s="9" t="s">
        <v>3</v>
      </c>
      <c r="I13" s="1"/>
    </row>
    <row r="14" spans="1:9" x14ac:dyDescent="0.25">
      <c r="A14" s="1"/>
      <c r="B14" s="159" t="s">
        <v>275</v>
      </c>
      <c r="C14" s="160"/>
      <c r="D14" s="160"/>
      <c r="E14" s="160"/>
      <c r="F14" s="161"/>
      <c r="G14" s="9">
        <v>0</v>
      </c>
      <c r="H14" s="9" t="s">
        <v>3</v>
      </c>
      <c r="I14" s="1"/>
    </row>
    <row r="15" spans="1:9" x14ac:dyDescent="0.25">
      <c r="A15" s="1"/>
      <c r="B15" s="159" t="s">
        <v>276</v>
      </c>
      <c r="C15" s="160"/>
      <c r="D15" s="160"/>
      <c r="E15" s="160"/>
      <c r="F15" s="161"/>
      <c r="G15" s="9">
        <v>0</v>
      </c>
      <c r="H15" s="9" t="s">
        <v>3</v>
      </c>
      <c r="I15" s="1"/>
    </row>
    <row r="16" spans="1:9" x14ac:dyDescent="0.25">
      <c r="A16" s="1"/>
      <c r="B16" s="159" t="s">
        <v>277</v>
      </c>
      <c r="C16" s="160"/>
      <c r="D16" s="160"/>
      <c r="E16" s="160"/>
      <c r="F16" s="161"/>
      <c r="G16" s="9">
        <v>0</v>
      </c>
      <c r="H16" s="9" t="s">
        <v>3</v>
      </c>
      <c r="I16" s="1"/>
    </row>
    <row r="17" spans="1:9" x14ac:dyDescent="0.25">
      <c r="A17" s="1"/>
      <c r="B17" s="159" t="s">
        <v>278</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j4LVBAD53maGOti+71k0A8YLUs3KnUmxFnv8uDaGzZmIWSk3XAfHjx53JnNuz2p5GIkbug61w+DeKsl1JyPiHg==" saltValue="/WhieiCQrThnQb3yswA7C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5"/>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135782</v>
      </c>
      <c r="F14" s="8" t="s">
        <v>3</v>
      </c>
      <c r="G14" s="1"/>
    </row>
    <row r="15" spans="1:7" x14ac:dyDescent="0.25">
      <c r="A15" s="1"/>
      <c r="B15" s="130" t="s">
        <v>211</v>
      </c>
      <c r="C15" s="131"/>
      <c r="D15" s="132"/>
      <c r="E15" s="9">
        <v>0</v>
      </c>
      <c r="F15" s="8" t="s">
        <v>3</v>
      </c>
      <c r="G15" s="1"/>
    </row>
    <row r="16" spans="1:7" x14ac:dyDescent="0.25">
      <c r="A16" s="1"/>
      <c r="B16" s="133" t="s">
        <v>101</v>
      </c>
      <c r="C16" s="134"/>
      <c r="D16" s="155"/>
      <c r="E16" s="10">
        <f>E15-E14</f>
        <v>-135782</v>
      </c>
      <c r="F16" s="11" t="s">
        <v>3</v>
      </c>
      <c r="G16" s="1"/>
    </row>
    <row r="17" spans="1:7" x14ac:dyDescent="0.25">
      <c r="A17" s="1"/>
      <c r="B17" s="32" t="s">
        <v>212</v>
      </c>
      <c r="C17" s="27"/>
      <c r="D17" s="27"/>
      <c r="E17" s="12">
        <f>E12+E16</f>
        <v>-135782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i7CumvvoKWSPg1LYl0DUbIt1kFFc+7dQ9vIQf8eF7DEq9vMxSpoCaoOHX7nwg1FOfRZTeGfscPeG7lfduzBig==" saltValue="KdwIeAm0FDPd+Gue8JZte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nqvKhsbgkjkBUZyiIMLVv8AYevQc2qzYd9924SaJ4KVWwiR1KkulfiLgLVNIc2w6WkdFKKH7hPIVg3yXx652A==" saltValue="wseLdH5Lj9+B8bxNqpMRi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280</v>
      </c>
      <c r="C11" s="21">
        <v>5272</v>
      </c>
      <c r="D11" s="14" t="s">
        <v>3</v>
      </c>
      <c r="E11" s="9">
        <f>5346+13827</f>
        <v>19173</v>
      </c>
      <c r="F11" s="14" t="s">
        <v>3</v>
      </c>
      <c r="G11" s="1"/>
    </row>
    <row r="12" spans="1:7" x14ac:dyDescent="0.25">
      <c r="A12" s="1"/>
      <c r="B12" s="32" t="s">
        <v>156</v>
      </c>
      <c r="C12" s="12">
        <f>SUM(C10:C11)</f>
        <v>5272</v>
      </c>
      <c r="D12" s="13" t="s">
        <v>3</v>
      </c>
      <c r="E12" s="12">
        <f>SUM(E10:E11)</f>
        <v>19173</v>
      </c>
      <c r="F12" s="13" t="s">
        <v>3</v>
      </c>
      <c r="G12" s="1"/>
    </row>
    <row r="13" spans="1:7" x14ac:dyDescent="0.25">
      <c r="A13" s="1"/>
      <c r="B13" s="32" t="s">
        <v>213</v>
      </c>
      <c r="C13" s="12">
        <f>C12*(1+'Fane 15. Nøgletal'!C15)</f>
        <v>5459.6832000000004</v>
      </c>
      <c r="D13" s="13" t="s">
        <v>3</v>
      </c>
      <c r="E13" s="12">
        <f>E12*(1+'Fane 15. Nøgletal'!C15)</f>
        <v>19855.558800000003</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lFO/a15Eu2YC2LgqwMNKRmcGT3t++Q3Su0jjLyKYVbIFCE9ZqjFegnyvCVbExDDnQcTc6u+w78g5qtYEtj3JA==" saltValue="7kyxOMElPAltnRdJHwSPn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285</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1b3ROHypdR2fafCsIJC2iYPDNkDnAoedbDehlu516rGmdI97yqD6b/K/hmsXJ6I020elVvG3qazBJnBkTK66AQ==" saltValue="pcwhzGECAQu+ChJlBxqux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C047ywLMDnhwrK/hF/qrUQGBDm+koWgUTkeEcDQZhw5tSjAjVszNWDhoji7jS7iPWtS2YlQBkwFDJwsMbakpA==" saltValue="3UDcFJ8Ak9KDXwviXWYmM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UioubM6FooZl5DkheF2PStDbhrP8/lkP1tlrPQUrDEjbqTE670jAkqRxr3GHhUNrFpWRoGEMDihWB06unVidw==" saltValue="OjpLpBSyqCaIK4G3VEkBM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Qzao5s3ucuXOtnzQEKyCmdg4MoiZAKSe0cS7P0/qZ1mu7mpO/kSzBeAYBvLdFVgKZaM/deKlXNmbLMTDx26rkA==" saltValue="mUyBASbRY4QKOcrKQcpt3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30842569.380971096</v>
      </c>
      <c r="D9" s="8" t="s">
        <v>3</v>
      </c>
      <c r="E9" s="1"/>
    </row>
    <row r="10" spans="1:5" ht="17.25" customHeight="1" x14ac:dyDescent="0.25">
      <c r="A10" s="1"/>
      <c r="B10" s="83" t="s">
        <v>39</v>
      </c>
      <c r="C10" s="7">
        <f>'Fane 11.1. Varige tillæg'!C13</f>
        <v>5459.6832000000004</v>
      </c>
      <c r="D10" s="8" t="s">
        <v>3</v>
      </c>
      <c r="E10" s="1"/>
    </row>
    <row r="11" spans="1:5" ht="17.25" customHeight="1" x14ac:dyDescent="0.25">
      <c r="A11" s="1"/>
      <c r="B11" s="83" t="s">
        <v>40</v>
      </c>
      <c r="C11" s="9">
        <f>'Fane 11.1. Varige tillæg'!E13</f>
        <v>19855.558800000003</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102681.70157240461</v>
      </c>
      <c r="D16" s="8" t="s">
        <v>3</v>
      </c>
      <c r="E16" s="1"/>
    </row>
    <row r="17" spans="1:5" ht="17.25" customHeight="1" x14ac:dyDescent="0.25">
      <c r="A17" s="1"/>
      <c r="B17" s="83" t="s">
        <v>10</v>
      </c>
      <c r="C17" s="44">
        <f>-SUM(C9,C10:C16)*'Fane 5. Individuelt eff. krav'!G9</f>
        <v>-18961.286162341541</v>
      </c>
      <c r="D17" s="8" t="s">
        <v>3</v>
      </c>
      <c r="E17" s="1"/>
    </row>
    <row r="18" spans="1:5" ht="17.25" customHeight="1" x14ac:dyDescent="0.25">
      <c r="A18" s="1"/>
      <c r="B18" s="83" t="s">
        <v>24</v>
      </c>
      <c r="C18" s="44">
        <f>-'Fane 4.1. Gen. krav - drift'!G45</f>
        <v>-230113.32880116216</v>
      </c>
      <c r="D18" s="8" t="s">
        <v>3</v>
      </c>
      <c r="E18" s="1"/>
    </row>
    <row r="19" spans="1:5" ht="17.25" customHeight="1" x14ac:dyDescent="0.25">
      <c r="A19" s="1"/>
      <c r="B19" s="83" t="s">
        <v>25</v>
      </c>
      <c r="C19" s="44">
        <f>-'Fane 4.2. Gen. krav - anlæg'!G43</f>
        <v>-328724.25224774767</v>
      </c>
      <c r="D19" s="8" t="s">
        <v>3</v>
      </c>
      <c r="E19" s="48"/>
    </row>
    <row r="20" spans="1:5" ht="17.25" customHeight="1" x14ac:dyDescent="0.25">
      <c r="A20" s="1"/>
      <c r="B20" s="89" t="s">
        <v>21</v>
      </c>
      <c r="C20" s="10">
        <f>SUM(C9:C19)</f>
        <v>30392767.45733225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1047469.34325824</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-645967.48079106212</v>
      </c>
      <c r="D32" s="11" t="s">
        <v>3</v>
      </c>
      <c r="E32" s="1"/>
    </row>
    <row r="33" spans="1:5" ht="15" customHeight="1" x14ac:dyDescent="0.25">
      <c r="A33" s="1"/>
      <c r="B33" s="32" t="s">
        <v>185</v>
      </c>
      <c r="C33" s="27"/>
      <c r="D33" s="19"/>
      <c r="E33" s="1"/>
    </row>
    <row r="34" spans="1:5" x14ac:dyDescent="0.25">
      <c r="A34" s="1"/>
      <c r="B34" s="30" t="s">
        <v>185</v>
      </c>
      <c r="C34" s="10">
        <f>'Fane 9. Korrektion af ØR2021'!E17</f>
        <v>-135782</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30658487.319799427</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NkTEOSyWlnJ0tvtggwkc4wcrvDPV5wzJW4R2dSzq+fmC3E3XsGFVAypE29p9Opl9jjMf+KdPtCaZ1l0F7Is4w==" saltValue="M12mvxIwd7yxE/nSXx9m+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Svl3iJgcMBWhOf5swR5xj9I20JqyeMOntLaNAsd6vQbMaf6Rg4si44mLdJqbveFZNEC01gky+Y66AOzm/ixdcg==" saltValue="99YiTWvN+LXVkLN1K70p9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30392767.45733225</v>
      </c>
      <c r="D9" s="8" t="s">
        <v>3</v>
      </c>
      <c r="E9" s="1"/>
    </row>
    <row r="10" spans="1:5" ht="15" customHeight="1" x14ac:dyDescent="0.25">
      <c r="A10" s="1"/>
      <c r="B10" s="25" t="s">
        <v>19</v>
      </c>
      <c r="C10" s="7">
        <f>SUM(C9:C9)*'Fane 15. Nøgletal'!C15</f>
        <v>1081982.5214810281</v>
      </c>
      <c r="D10" s="8" t="s">
        <v>3</v>
      </c>
      <c r="E10" s="1"/>
    </row>
    <row r="11" spans="1:5" ht="15" customHeight="1" x14ac:dyDescent="0.25">
      <c r="A11" s="1"/>
      <c r="B11" s="25" t="s">
        <v>10</v>
      </c>
      <c r="C11" s="9">
        <f>-SUM(C9:C10)*'Fane 5. Individuelt eff. krav'!G9</f>
        <v>-19269.965391736459</v>
      </c>
      <c r="D11" s="8" t="s">
        <v>3</v>
      </c>
      <c r="E11" s="1"/>
    </row>
    <row r="12" spans="1:5" ht="15" customHeight="1" x14ac:dyDescent="0.25">
      <c r="A12" s="1"/>
      <c r="B12" s="25" t="s">
        <v>24</v>
      </c>
      <c r="C12" s="9">
        <f>-'Fane 4.1. Gen. krav - drift'!G53</f>
        <v>-233539.25604035388</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31221940.75738119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1079925.4126782333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-148132.60778237134</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32153733.562277053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sMpA2E3cYVGEbxhItQR/EjCeFUZXv1Eh1P9zNfSLB8Ea1fvaE5Y7uwQIG8H+HF+2cN5srfyVGeHRqqHuwZaA==" saltValue="IzVjLeJ2edsTr0WG7KyTT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31221940.75738119</v>
      </c>
      <c r="D9" s="8" t="s">
        <v>3</v>
      </c>
      <c r="E9" s="1"/>
    </row>
    <row r="10" spans="1:5" ht="15" customHeight="1" x14ac:dyDescent="0.25">
      <c r="A10" s="1"/>
      <c r="B10" s="25" t="s">
        <v>19</v>
      </c>
      <c r="C10" s="7">
        <f>SUM(C9:C9)*'Fane 15. Nøgletal'!C15</f>
        <v>1111501.0909627704</v>
      </c>
      <c r="D10" s="8" t="s">
        <v>3</v>
      </c>
      <c r="E10" s="1"/>
    </row>
    <row r="11" spans="1:5" ht="15" customHeight="1" x14ac:dyDescent="0.25">
      <c r="A11" s="1"/>
      <c r="B11" s="25" t="s">
        <v>10</v>
      </c>
      <c r="C11" s="9">
        <f>-SUM(C9:C10)*'Fane 5. Individuelt eff. krav'!G9</f>
        <v>-19795.68720427381</v>
      </c>
      <c r="D11" s="8" t="s">
        <v>3</v>
      </c>
      <c r="E11" s="1"/>
    </row>
    <row r="12" spans="1:5" ht="15" customHeight="1" x14ac:dyDescent="0.25">
      <c r="A12" s="1"/>
      <c r="B12" s="25" t="s">
        <v>24</v>
      </c>
      <c r="C12" s="9">
        <f>-'Fane 4.1. Gen. krav - drift'!G58</f>
        <v>-237016.18848428273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32076629.972655404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1113536.9181695785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-148132.60778237134</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33042034.28304261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Q/Clt6q9RcJb4fEbfjCW8LCHWdhWn0fmGfr8DxOVaeIQexuv7NfRt8yU7U8ysyvfefJxpa08046DpY/N4vZGA==" saltValue="86QPgOphrYljphwN4L9Vm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32076629.972655404</v>
      </c>
      <c r="D9" s="8" t="s">
        <v>3</v>
      </c>
      <c r="E9" s="1"/>
    </row>
    <row r="10" spans="1:5" ht="15" customHeight="1" x14ac:dyDescent="0.25">
      <c r="A10" s="1"/>
      <c r="B10" s="25" t="s">
        <v>19</v>
      </c>
      <c r="C10" s="7">
        <f>SUM(C9:C9)*'Fane 15. Nøgletal'!C15</f>
        <v>1141928.0270265325</v>
      </c>
      <c r="D10" s="8" t="s">
        <v>3</v>
      </c>
      <c r="E10" s="1"/>
    </row>
    <row r="11" spans="1:5" ht="15" customHeight="1" x14ac:dyDescent="0.25">
      <c r="A11" s="1"/>
      <c r="B11" s="25" t="s">
        <v>10</v>
      </c>
      <c r="C11" s="9">
        <f>-SUM(C9:C10)*'Fane 5. Individuelt eff. krav'!G9</f>
        <v>-20337.586905317694</v>
      </c>
      <c r="D11" s="8" t="s">
        <v>3</v>
      </c>
      <c r="E11" s="1"/>
    </row>
    <row r="12" spans="1:5" ht="15" customHeight="1" x14ac:dyDescent="0.25">
      <c r="A12" s="1"/>
      <c r="B12" s="25" t="s">
        <v>24</v>
      </c>
      <c r="C12" s="9">
        <f>-'Fane 4.1. Gen. krav - drift'!G63</f>
        <v>-240544.88549843672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32957675.527278181</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1148344.9932564157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-148132.60778237134</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33957887.912752226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Y8ecemDkMezQyQY/JyCuXVnW388uh3+so3yIS8ipsq5GcKsfggGQky3+za+JaPWFtemW5/T/z+80lob0xEXzgA==" saltValue="6s7RQ3Q+OKpp8V7cVqUM1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0" t="s">
        <v>192</v>
      </c>
      <c r="C9" s="131"/>
      <c r="D9" s="132"/>
      <c r="E9" s="7">
        <v>30705461.321879275</v>
      </c>
      <c r="F9" s="8" t="s">
        <v>3</v>
      </c>
      <c r="G9" s="1"/>
    </row>
    <row r="10" spans="1:7" ht="15" customHeight="1" x14ac:dyDescent="0.25">
      <c r="A10" s="1"/>
      <c r="B10" s="121" t="s">
        <v>39</v>
      </c>
      <c r="C10" s="122"/>
      <c r="D10" s="123"/>
      <c r="E10" s="7">
        <v>90166.571000000011</v>
      </c>
      <c r="F10" s="8" t="s">
        <v>3</v>
      </c>
      <c r="G10" s="1"/>
    </row>
    <row r="11" spans="1:7" ht="15" customHeight="1" x14ac:dyDescent="0.25">
      <c r="A11" s="1"/>
      <c r="B11" s="121" t="s">
        <v>40</v>
      </c>
      <c r="C11" s="122"/>
      <c r="D11" s="123"/>
      <c r="E11" s="9">
        <v>529297.93810000003</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103372.25524223159</v>
      </c>
      <c r="F16" s="8" t="s">
        <v>3</v>
      </c>
      <c r="G16" s="1"/>
    </row>
    <row r="17" spans="1:7" ht="15" customHeight="1" x14ac:dyDescent="0.25">
      <c r="A17" s="1"/>
      <c r="B17" s="130" t="s">
        <v>10</v>
      </c>
      <c r="C17" s="131"/>
      <c r="D17" s="132"/>
      <c r="E17" s="9">
        <v>-19241.525885045328</v>
      </c>
      <c r="F17" s="8" t="s">
        <v>3</v>
      </c>
      <c r="G17" s="1"/>
    </row>
    <row r="18" spans="1:7" ht="15" customHeight="1" x14ac:dyDescent="0.25">
      <c r="A18" s="1"/>
      <c r="B18" s="130" t="s">
        <v>24</v>
      </c>
      <c r="C18" s="131"/>
      <c r="D18" s="132"/>
      <c r="E18" s="9">
        <f>-'Fane 4.1. Gen. krav - drift'!G39</f>
        <v>-233922.18723388709</v>
      </c>
      <c r="F18" s="8" t="s">
        <v>3</v>
      </c>
      <c r="G18" s="1"/>
    </row>
    <row r="19" spans="1:7" ht="15" customHeight="1" x14ac:dyDescent="0.25">
      <c r="A19" s="1"/>
      <c r="B19" s="130" t="s">
        <v>25</v>
      </c>
      <c r="C19" s="131"/>
      <c r="D19" s="132"/>
      <c r="E19" s="9">
        <f>-'Fane 4.2. Gen. krav - anlæg'!G37</f>
        <v>-332564.9921314753</v>
      </c>
      <c r="F19" s="8" t="s">
        <v>3</v>
      </c>
      <c r="G19" s="1"/>
    </row>
    <row r="20" spans="1:7" ht="15" customHeight="1" x14ac:dyDescent="0.25">
      <c r="A20" s="1"/>
      <c r="B20" s="54" t="s">
        <v>21</v>
      </c>
      <c r="C20" s="90"/>
      <c r="D20" s="96"/>
      <c r="E20" s="51">
        <f>SUM(E9:E19)</f>
        <v>30842569.380971096</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1022400.8454684401</v>
      </c>
      <c r="F22" s="11" t="s">
        <v>3</v>
      </c>
      <c r="G22" s="1"/>
    </row>
    <row r="23" spans="1:7" ht="15" customHeight="1" x14ac:dyDescent="0.25">
      <c r="A23" s="1"/>
      <c r="B23" s="127" t="s">
        <v>86</v>
      </c>
      <c r="C23" s="128"/>
      <c r="D23" s="129"/>
      <c r="E23" s="27"/>
      <c r="F23" s="19"/>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154294.48579294555</v>
      </c>
      <c r="F28" s="11" t="s">
        <v>3</v>
      </c>
      <c r="G28" s="1"/>
    </row>
    <row r="29" spans="1:7" ht="15" customHeight="1" x14ac:dyDescent="0.25">
      <c r="A29" s="1"/>
      <c r="B29" s="32" t="s">
        <v>143</v>
      </c>
      <c r="C29" s="32"/>
      <c r="D29" s="32"/>
      <c r="E29" s="27"/>
      <c r="F29" s="19"/>
      <c r="G29" s="1"/>
    </row>
    <row r="30" spans="1:7" ht="15" customHeight="1" x14ac:dyDescent="0.25">
      <c r="A30" s="1"/>
      <c r="B30" s="124" t="s">
        <v>142</v>
      </c>
      <c r="C30" s="125"/>
      <c r="D30" s="125"/>
      <c r="E30" s="39">
        <v>-645967.48079106212</v>
      </c>
      <c r="F30" s="11" t="s">
        <v>3</v>
      </c>
      <c r="G30" s="1"/>
    </row>
    <row r="31" spans="1:7" x14ac:dyDescent="0.25">
      <c r="A31" s="1"/>
      <c r="B31" s="32" t="s">
        <v>123</v>
      </c>
      <c r="C31" s="27"/>
      <c r="D31" s="27"/>
      <c r="E31" s="27"/>
      <c r="F31" s="19"/>
      <c r="G31" s="1"/>
    </row>
    <row r="32" spans="1:7" ht="15.4" customHeight="1" x14ac:dyDescent="0.25">
      <c r="A32" s="1"/>
      <c r="B32" s="124" t="s">
        <v>123</v>
      </c>
      <c r="C32" s="125"/>
      <c r="D32" s="126"/>
      <c r="E32" s="10">
        <v>-135782</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31237515.23144142</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UzqrQHaumDb/hOykNF1m6bWj5euI9/XBfOs1L5ldtpbERSzHLzHkEC0rW+8KJQzqR6C+7gibS/IZWA9Id3qqkw==" saltValue="GIuTdPEqWcCejUXvmCvbl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11705943.01124052</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234118.8602248104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11672581.073658485</v>
      </c>
      <c r="H11" s="14" t="s">
        <v>3</v>
      </c>
      <c r="I11" s="1"/>
    </row>
    <row r="12" spans="1:9" ht="15" customHeight="1" x14ac:dyDescent="0.25">
      <c r="A12" s="1"/>
      <c r="B12" s="137" t="s">
        <v>121</v>
      </c>
      <c r="C12" s="138"/>
      <c r="D12" s="138"/>
      <c r="E12" s="138"/>
      <c r="F12" s="139"/>
      <c r="G12" s="77">
        <v>0</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233451.62147316971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11639314.217598559</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232786.2843519712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11631236.533531547</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232624.73067063093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11623164.455377277</v>
      </c>
      <c r="H31" s="14" t="s">
        <v>3</v>
      </c>
      <c r="I31" s="1"/>
    </row>
    <row r="32" spans="1:9" x14ac:dyDescent="0.25">
      <c r="A32" s="1"/>
      <c r="B32" s="137" t="s">
        <v>137</v>
      </c>
      <c r="C32" s="138"/>
      <c r="D32" s="138"/>
      <c r="E32" s="138"/>
      <c r="F32" s="139"/>
      <c r="G32" s="76">
        <v>180378.99512388001</v>
      </c>
      <c r="H32" s="14" t="s">
        <v>3</v>
      </c>
      <c r="I32" s="1"/>
    </row>
    <row r="33" spans="1:9" x14ac:dyDescent="0.25">
      <c r="A33" s="1"/>
      <c r="B33" s="137" t="s">
        <v>60</v>
      </c>
      <c r="C33" s="138"/>
      <c r="D33" s="138"/>
      <c r="E33" s="138"/>
      <c r="F33" s="139"/>
      <c r="G33" s="76">
        <f>(G31+G32)*'Fane 15. Nøgletal'!C31</f>
        <v>236070.86901002313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11605645.241010055</v>
      </c>
      <c r="H37" s="14" t="s">
        <v>3</v>
      </c>
      <c r="I37" s="1"/>
    </row>
    <row r="38" spans="1:9" x14ac:dyDescent="0.25">
      <c r="A38" s="1"/>
      <c r="B38" s="137" t="s">
        <v>164</v>
      </c>
      <c r="C38" s="138"/>
      <c r="D38" s="138"/>
      <c r="E38" s="138"/>
      <c r="F38" s="139"/>
      <c r="G38" s="76">
        <v>90464.120684300011</v>
      </c>
      <c r="H38" s="14" t="s">
        <v>3</v>
      </c>
      <c r="I38" s="1"/>
    </row>
    <row r="39" spans="1:9" x14ac:dyDescent="0.25">
      <c r="A39" s="1"/>
      <c r="B39" s="137" t="s">
        <v>162</v>
      </c>
      <c r="C39" s="138"/>
      <c r="D39" s="138"/>
      <c r="E39" s="138"/>
      <c r="F39" s="139"/>
      <c r="G39" s="76">
        <f>(G37+G38)*'Fane 15. Nøgletal'!C31</f>
        <v>233922.18723388709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11500012.392136188</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5654.0479219200006</v>
      </c>
      <c r="H44" s="14" t="s">
        <v>3</v>
      </c>
      <c r="I44" s="1"/>
    </row>
    <row r="45" spans="1:9" x14ac:dyDescent="0.25">
      <c r="A45" s="1"/>
      <c r="B45" s="137" t="s">
        <v>163</v>
      </c>
      <c r="C45" s="138"/>
      <c r="D45" s="138"/>
      <c r="E45" s="138"/>
      <c r="F45" s="139"/>
      <c r="G45" s="76">
        <f>SUM(G43:G44)*'Fane 15. Nøgletal'!C31</f>
        <v>230113.32880116216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11676962.802017694</v>
      </c>
      <c r="H52" s="14" t="s">
        <v>3</v>
      </c>
      <c r="I52" s="1"/>
    </row>
    <row r="53" spans="1:9" x14ac:dyDescent="0.25">
      <c r="A53" s="1"/>
      <c r="B53" s="137" t="s">
        <v>138</v>
      </c>
      <c r="C53" s="138"/>
      <c r="D53" s="138"/>
      <c r="E53" s="138"/>
      <c r="F53" s="139"/>
      <c r="G53" s="76">
        <f>(G52)*'Fane 15. Nøgletal'!C31</f>
        <v>233539.25604035388</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11850809.424214136</v>
      </c>
      <c r="H57" s="14" t="s">
        <v>3</v>
      </c>
      <c r="I57" s="1"/>
    </row>
    <row r="58" spans="1:9" x14ac:dyDescent="0.25">
      <c r="A58" s="1"/>
      <c r="B58" s="91" t="s">
        <v>152</v>
      </c>
      <c r="C58" s="92"/>
      <c r="D58" s="92"/>
      <c r="E58" s="92"/>
      <c r="F58" s="93"/>
      <c r="G58" s="76">
        <f>(G57)*'Fane 15. Nøgletal'!C31</f>
        <v>237016.18848428273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12027244.274921836</v>
      </c>
      <c r="H62" s="14" t="s">
        <v>3</v>
      </c>
      <c r="I62" s="1"/>
    </row>
    <row r="63" spans="1:9" x14ac:dyDescent="0.25">
      <c r="A63" s="1"/>
      <c r="B63" s="91" t="s">
        <v>195</v>
      </c>
      <c r="C63" s="92"/>
      <c r="D63" s="92"/>
      <c r="E63" s="92"/>
      <c r="F63" s="93"/>
      <c r="G63" s="76">
        <f>(G62)*'Fane 15. Nøgletal'!C31</f>
        <v>240544.88549843672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DiTpMFRYBZIMBa5pR8a3Dy+m1T4f0tS6tkq7eh09Hi3WvEhHXv1W6egH53tlsaRexJXprx2RquGmio0wsBWGkw==" saltValue="mUytb5aZtMYVyjxyBjA9F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20969443.840955921</v>
      </c>
      <c r="H5" s="14" t="s">
        <v>3</v>
      </c>
      <c r="I5" s="1"/>
    </row>
    <row r="6" spans="1:9" x14ac:dyDescent="0.25">
      <c r="A6" s="1"/>
      <c r="B6" s="137" t="s">
        <v>57</v>
      </c>
      <c r="C6" s="138"/>
      <c r="D6" s="138"/>
      <c r="E6" s="138"/>
      <c r="F6" s="139"/>
      <c r="G6" s="76">
        <f>G5*'Fane 15. Nøgletal'!C20</f>
        <v>190821.9389526989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21142247.785288278</v>
      </c>
      <c r="H10" s="14" t="s">
        <v>3</v>
      </c>
      <c r="I10" s="1"/>
    </row>
    <row r="11" spans="1:9" x14ac:dyDescent="0.25">
      <c r="A11" s="1"/>
      <c r="B11" s="137" t="s">
        <v>122</v>
      </c>
      <c r="C11" s="138"/>
      <c r="D11" s="138"/>
      <c r="E11" s="138"/>
      <c r="F11" s="139"/>
      <c r="G11" s="76">
        <v>226681.03205776471</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378230.04006702499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21358036.005881403</v>
      </c>
      <c r="H17" s="14" t="s">
        <v>3</v>
      </c>
      <c r="I17" s="1"/>
    </row>
    <row r="18" spans="1:9" x14ac:dyDescent="0.25">
      <c r="A18" s="1"/>
      <c r="B18" s="140" t="s">
        <v>68</v>
      </c>
      <c r="C18" s="141"/>
      <c r="D18" s="141"/>
      <c r="E18" s="141"/>
      <c r="F18" s="142"/>
      <c r="G18" s="76">
        <v>991204.14792451973</v>
      </c>
      <c r="H18" s="14" t="s">
        <v>3</v>
      </c>
      <c r="I18" s="1"/>
    </row>
    <row r="19" spans="1:9" x14ac:dyDescent="0.25">
      <c r="A19" s="1"/>
      <c r="B19" s="137" t="s">
        <v>69</v>
      </c>
      <c r="C19" s="138"/>
      <c r="D19" s="138"/>
      <c r="E19" s="138"/>
      <c r="F19" s="139"/>
      <c r="G19" s="76">
        <f>G17*'Fane 15. Nøgletal'!C21+G18*'Fane 15. Nøgletal'!C22</f>
        <v>386660.71339104412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22395242.255391054</v>
      </c>
      <c r="H23" s="14" t="s">
        <v>3</v>
      </c>
      <c r="I23" s="1"/>
    </row>
    <row r="24" spans="1:9" x14ac:dyDescent="0.25">
      <c r="A24" s="1"/>
      <c r="B24" s="140" t="s">
        <v>72</v>
      </c>
      <c r="C24" s="141"/>
      <c r="D24" s="141"/>
      <c r="E24" s="141"/>
      <c r="F24" s="142"/>
      <c r="G24" s="76">
        <v>303204.76492270135</v>
      </c>
      <c r="H24" s="14" t="s">
        <v>3</v>
      </c>
      <c r="I24" s="1"/>
    </row>
    <row r="25" spans="1:9" x14ac:dyDescent="0.25">
      <c r="A25" s="1"/>
      <c r="B25" s="137" t="s">
        <v>73</v>
      </c>
      <c r="C25" s="138"/>
      <c r="D25" s="138"/>
      <c r="E25" s="138"/>
      <c r="F25" s="139"/>
      <c r="G25" s="76">
        <f>(G23+G24)*'Fane 15. Nøgletal'!C23</f>
        <v>644635.89537691069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22488271.204098102</v>
      </c>
      <c r="H29" s="14" t="s">
        <v>3</v>
      </c>
      <c r="I29" s="1"/>
    </row>
    <row r="30" spans="1:9" x14ac:dyDescent="0.25">
      <c r="A30" s="1"/>
      <c r="B30" s="137" t="s">
        <v>139</v>
      </c>
      <c r="C30" s="138"/>
      <c r="D30" s="138"/>
      <c r="E30" s="138"/>
      <c r="F30" s="139"/>
      <c r="G30" s="76">
        <v>18299.466831239999</v>
      </c>
      <c r="H30" s="14" t="s">
        <v>3</v>
      </c>
      <c r="I30" s="1"/>
    </row>
    <row r="31" spans="1:9" x14ac:dyDescent="0.25">
      <c r="A31" s="1"/>
      <c r="B31" s="137" t="s">
        <v>76</v>
      </c>
      <c r="C31" s="138"/>
      <c r="D31" s="138"/>
      <c r="E31" s="138"/>
      <c r="F31" s="139"/>
      <c r="G31" s="76">
        <f>G29*'Fane 15. Nøgletal'!C23+G30*'Fane 15. Nøgletal'!C24</f>
        <v>639170.13753424527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21939562.955155302</v>
      </c>
      <c r="H35" s="14" t="s">
        <v>3</v>
      </c>
      <c r="I35" s="1"/>
    </row>
    <row r="36" spans="1:9" x14ac:dyDescent="0.25">
      <c r="A36" s="1"/>
      <c r="B36" s="137" t="s">
        <v>167</v>
      </c>
      <c r="C36" s="138"/>
      <c r="D36" s="138"/>
      <c r="E36" s="138"/>
      <c r="F36" s="139"/>
      <c r="G36" s="76">
        <v>531044.62129573012</v>
      </c>
      <c r="H36" s="14" t="s">
        <v>3</v>
      </c>
      <c r="I36" s="1"/>
    </row>
    <row r="37" spans="1:9" x14ac:dyDescent="0.25">
      <c r="A37" s="1"/>
      <c r="B37" s="137" t="s">
        <v>166</v>
      </c>
      <c r="C37" s="138"/>
      <c r="D37" s="138"/>
      <c r="E37" s="138"/>
      <c r="F37" s="139"/>
      <c r="G37" s="76">
        <f>(G35+G36)*'Fane 15. Nøgletal'!C25</f>
        <v>332564.9921314753</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22211098.124847814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20562.416693280004</v>
      </c>
      <c r="H42" s="14" t="s">
        <v>3</v>
      </c>
      <c r="I42" s="1"/>
    </row>
    <row r="43" spans="1:9" x14ac:dyDescent="0.25">
      <c r="A43" s="1"/>
      <c r="B43" s="137" t="s">
        <v>168</v>
      </c>
      <c r="C43" s="138"/>
      <c r="D43" s="138"/>
      <c r="E43" s="138"/>
      <c r="F43" s="139"/>
      <c r="G43" s="76">
        <f>(G41)*'Fane 15. Nøgletal'!C25+G42*'Fane 15. Nøgletal'!C26</f>
        <v>328724.25224774767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22682680.821192194</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23490184.258426636</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24326434.818026628</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nipO2VGqhJHk1DS8yLnhNug4bcUuhyh6BVviQOsaEsf3OviXaEilVETe016i1VnAH96u4oR6uBfDiWUGFMp6Q==" saltValue="ODPhS++xYABQQRv+HxUs7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6.1223569384054603E-4</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cJVbTlRSU2QeOkWZkWdejjNfiOYwkY0cPcNDMYZ08CXhAAELnd4IRy1/rn74nEHQD+THba6J+aE0SjRXWJNzCQ==" saltValue="EWCroWjcFd22lErZabCDY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2022-12-01T08:37:26Z</dcterms:modified>
</cp:coreProperties>
</file>