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Silkeborg Vand AS (V162)\ØR2024\"/>
    </mc:Choice>
  </mc:AlternateContent>
  <xr:revisionPtr revIDLastSave="0" documentId="13_ncr:1_{413B80F8-7ACD-421D-8034-AC1679D9299A}"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definedNames>
    <definedName name="Tabel_Fane_11">'Fane 11. Tilknyttet virksomhed'!$B$8:$F$13</definedName>
    <definedName name="Tabel_Fane_12">'Fane 12. Bortfald'!$B$9:$F$13</definedName>
    <definedName name="Tabel_Fane_2_1">'Fane 2.1. Økonomisk ramme 2024'!$B$8:$E$33</definedName>
    <definedName name="Tabel_Fane_2_2">'Fane 2.2. Økonomisk ramme 2025'!$B$8:$D$21</definedName>
    <definedName name="Tabel_Fane_2_3">'Fane 2.3. Økonomisk ramme 2026'!$B$7:$D$20</definedName>
    <definedName name="Tabel_Fane_2_4">'Fane 2.4. Økonomisk ramme 2027'!$B$7:$D$20</definedName>
    <definedName name="Tabel_Fane_3">'Fane 3. Omkostninger i ØR2023'!$B$8:$D$34</definedName>
    <definedName name="Tabel_Fane_8">'Fane 8. Skattesagen'!$B$8:$H$18</definedName>
  </definedNames>
  <calcPr calcId="191029"/>
</workbook>
</file>

<file path=xl/calcChain.xml><?xml version="1.0" encoding="utf-8"?>
<calcChain xmlns="http://schemas.openxmlformats.org/spreadsheetml/2006/main">
  <c r="E18" i="37" l="1"/>
  <c r="C18" i="37"/>
  <c r="E25" i="42" l="1"/>
  <c r="E33" i="42" l="1"/>
  <c r="E35" i="42" s="1"/>
  <c r="E29" i="42"/>
  <c r="C30" i="2" s="1"/>
  <c r="C9" i="2"/>
  <c r="C18" i="15" l="1"/>
  <c r="C17" i="22"/>
  <c r="C19" i="23"/>
  <c r="C19" i="22"/>
  <c r="C20" i="15"/>
  <c r="C32" i="2"/>
  <c r="G18" i="40" l="1"/>
  <c r="J11" i="11" l="1"/>
  <c r="H11" i="11"/>
  <c r="C18" i="19"/>
  <c r="C19" i="19" s="1"/>
  <c r="C15" i="23" l="1"/>
  <c r="C16" i="15"/>
  <c r="C15" i="22"/>
  <c r="E12" i="29" l="1"/>
  <c r="E13" i="29" s="1"/>
  <c r="C12" i="29"/>
  <c r="C13" i="29" s="1"/>
  <c r="F10" i="11"/>
  <c r="E13" i="39" l="1"/>
  <c r="E14" i="39" s="1"/>
  <c r="C13" i="39"/>
  <c r="C14" i="39" l="1"/>
  <c r="C24" i="2" s="1"/>
  <c r="G31" i="36"/>
  <c r="G38" i="36" s="1"/>
  <c r="G7" i="36"/>
  <c r="G11" i="36" s="1"/>
  <c r="G13" i="36" s="1"/>
  <c r="G7" i="30"/>
  <c r="G11" i="30" s="1"/>
  <c r="G17" i="36" l="1"/>
  <c r="G20" i="36" s="1"/>
  <c r="G13" i="30"/>
  <c r="G17" i="30" s="1"/>
  <c r="G24" i="36" l="1"/>
  <c r="G20" i="30"/>
  <c r="G30" i="36" l="1"/>
  <c r="G37" i="36" s="1"/>
  <c r="G26" i="36"/>
  <c r="G24" i="30"/>
  <c r="G26" i="30" s="1"/>
  <c r="G31" i="30" l="1"/>
  <c r="G38" i="30" s="1"/>
  <c r="F11" i="11" l="1"/>
  <c r="E12" i="21" l="1"/>
  <c r="E13" i="21" s="1"/>
  <c r="C12" i="21"/>
  <c r="C13" i="21" s="1"/>
  <c r="C13" i="2" l="1"/>
  <c r="C12" i="2"/>
  <c r="C25" i="2" l="1"/>
  <c r="C27" i="2" s="1"/>
  <c r="C26" i="2" l="1"/>
  <c r="C28" i="2" s="1"/>
  <c r="G30" i="30"/>
  <c r="G37" i="30" s="1"/>
  <c r="G33" i="30" l="1"/>
  <c r="C10" i="37" l="1"/>
  <c r="C17" i="37" s="1"/>
  <c r="C10" i="2" l="1"/>
  <c r="G55" i="30" s="1"/>
  <c r="C22" i="2"/>
  <c r="C14" i="2"/>
  <c r="C15" i="2"/>
  <c r="G41" i="30" l="1"/>
  <c r="G45" i="30" l="1"/>
  <c r="G47" i="30" s="1"/>
  <c r="G54" i="30" s="1"/>
  <c r="G39" i="30"/>
  <c r="E10" i="37"/>
  <c r="E17" i="37" s="1"/>
  <c r="G56" i="30" l="1"/>
  <c r="C11" i="2"/>
  <c r="G60" i="30" l="1"/>
  <c r="G61" i="30" s="1"/>
  <c r="C12" i="15" s="1"/>
  <c r="C18" i="2"/>
  <c r="G33" i="36"/>
  <c r="G41" i="36"/>
  <c r="G65" i="30" l="1"/>
  <c r="G66" i="30" s="1"/>
  <c r="G45" i="36"/>
  <c r="G47" i="36" l="1"/>
  <c r="G52" i="36" s="1"/>
  <c r="C11" i="22"/>
  <c r="G70" i="30"/>
  <c r="G71" i="30" s="1"/>
  <c r="C11" i="23" s="1"/>
  <c r="C16" i="2"/>
  <c r="C17" i="2" s="1"/>
  <c r="G54" i="36" l="1"/>
  <c r="G58" i="36" s="1"/>
  <c r="G59" i="36" s="1"/>
  <c r="C19" i="2" l="1"/>
  <c r="C20" i="2" s="1"/>
  <c r="C33" i="2" s="1"/>
  <c r="G63" i="36"/>
  <c r="G64" i="36" s="1"/>
  <c r="C13" i="15"/>
  <c r="G68" i="36" l="1"/>
  <c r="G69" i="36" s="1"/>
  <c r="C12" i="23" s="1"/>
  <c r="C12" i="22"/>
  <c r="C9" i="15"/>
  <c r="C10" i="15" s="1"/>
  <c r="C11" i="15" l="1"/>
  <c r="C14" i="15" s="1"/>
  <c r="C21" i="15" l="1"/>
  <c r="C8" i="22"/>
  <c r="C9" i="22" s="1"/>
  <c r="C10" i="22" l="1"/>
  <c r="C13" i="22" s="1"/>
  <c r="C20" i="22" l="1"/>
  <c r="C8" i="23"/>
  <c r="C9" i="23" l="1"/>
  <c r="C10" i="23" s="1"/>
  <c r="C13" i="23" s="1"/>
  <c r="C20" i="23" s="1"/>
</calcChain>
</file>

<file path=xl/sharedStrings.xml><?xml version="1.0" encoding="utf-8"?>
<sst xmlns="http://schemas.openxmlformats.org/spreadsheetml/2006/main" count="562" uniqueCount="272">
  <si>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</si>
  <si>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</si>
  <si>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</si>
  <si>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</si>
  <si>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</si>
  <si>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</si>
  <si>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</si>
  <si>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</si>
  <si>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</si>
  <si>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</si>
  <si>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</si>
  <si>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</si>
  <si>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</si>
  <si>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</si>
  <si>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</si>
  <si>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</si>
  <si>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</si>
  <si>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</si>
  <si>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</si>
  <si>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</si>
  <si>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</si>
  <si>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</si>
  <si>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</si>
  <si>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</si>
  <si>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</si>
  <si>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</si>
  <si>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</si>
  <si>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</si>
  <si>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</si>
  <si>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</si>
  <si>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</si>
  <si>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</si>
  <si>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</si>
  <si>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</si>
  <si>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</si>
  <si>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</si>
  <si>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</si>
  <si>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</si>
  <si>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</si>
  <si>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</si>
  <si>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</si>
  <si>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</si>
  <si>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</si>
  <si>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</si>
  <si>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</si>
  <si>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</si>
  <si>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</si>
  <si>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</si>
  <si>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</si>
  <si>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</si>
  <si>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</si>
  <si>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</si>
  <si>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</si>
  <si>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</si>
  <si>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</si>
  <si>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</si>
  <si>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</si>
  <si>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</si>
  <si>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</si>
  <si>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</si>
  <si>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</si>
  <si>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</si>
  <si>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</si>
  <si>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</si>
  <si>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</si>
  <si>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</si>
  <si>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</si>
  <si>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</si>
  <si>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</si>
  <si>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</si>
  <si>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</si>
  <si>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</si>
  <si>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</si>
  <si>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</si>
  <si>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</si>
  <si>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</si>
  <si>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</si>
  <si>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</si>
  <si>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</si>
  <si>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</si>
  <si>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</si>
  <si>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</si>
  <si>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</si>
  <si>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</si>
  <si>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</si>
  <si>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</si>
  <si>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</si>
  <si>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</si>
  <si>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Generelt effektiviseringskrav til anlægsomkostninger i de økonomiske rammer for 2022</t>
  </si>
  <si>
    <t>Generelt effektiviseringskrav til driftsomkostninger i de økonomiske rammer for 2022</t>
  </si>
  <si>
    <t>Fane 4.1: Generelt effektiviseringskrav til driftsomkostningerne</t>
  </si>
  <si>
    <t>Fane 4.2: Generelt effektiviseringskrav til anlægsomkostningerne</t>
  </si>
  <si>
    <t>Fane 6: Ikke-påvirkelige omkostninger</t>
  </si>
  <si>
    <t>Fane 4.1</t>
  </si>
  <si>
    <t>Fane 4.2</t>
  </si>
  <si>
    <t>Fane 6</t>
  </si>
  <si>
    <t>Fane 11</t>
  </si>
  <si>
    <t>Prisudvikling til brug for ØR2017-2018</t>
  </si>
  <si>
    <t>Prisudvikling til brug for ØR2019-2022</t>
  </si>
  <si>
    <t>Generelt effektiviseringskrav til brug for anlægsomkostninger i ØR2017-2018</t>
  </si>
  <si>
    <t>Generelt effektiviseringskrav til brug for nye anlægsomkostninger i ØR2018</t>
  </si>
  <si>
    <t>Generelt effektiviseringskrav til brug for nye anlægsomkostninger i ØR2020</t>
  </si>
  <si>
    <t>Generelt effektiviseringskrav til brug for anlægsomkostninger i ØR2019-2022</t>
  </si>
  <si>
    <t>Generelt effektiviseringskrav til brug for driftsomkostninger</t>
  </si>
  <si>
    <t>- Heraf nye driftsomkostninger til de økonomiske rammer for 2020</t>
  </si>
  <si>
    <t>Generelt effektiviseringskrav til driftsomkostningerne i ØR22</t>
  </si>
  <si>
    <t>- Heraf nye anlægsomkostninger til de økonomiske rammer for 2020</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</si>
  <si>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</si>
  <si>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</si>
  <si>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</si>
  <si>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</si>
  <si>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</si>
  <si>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</si>
  <si>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2022</t>
  </si>
  <si>
    <t>Videreførte omkostninger fra den økonomiske ramme for 2024</t>
  </si>
  <si>
    <t>Økonomisk ramme for 2024</t>
  </si>
  <si>
    <t>Tilknyttet virksomhed under hovedvirksomheden</t>
  </si>
  <si>
    <t>Beskrivelse af tilknyttet virksomhed</t>
  </si>
  <si>
    <t>Prisudvikling til brug for nye omkostninger i ØR2021</t>
  </si>
  <si>
    <t>Generelt effektiviseringskrav til brug for nye anlægsomkostninger i ØR2021</t>
  </si>
  <si>
    <t>Base for driftsomkostninger til de vejledende økonomiske rammer for 2024</t>
  </si>
  <si>
    <t>Vejledende generelt effektiviseringskrav til driftsomkostningerne i ØR24</t>
  </si>
  <si>
    <t>- Heraf nye driftsomkostninger til de økonomiske rammer for 2021</t>
  </si>
  <si>
    <t>- Heraf nye anlægsomkostninger til de økonomiske rammer for 2021</t>
  </si>
  <si>
    <t>Base for anlægsomkostninger til de vejledende økonomiske rammer for 2024</t>
  </si>
  <si>
    <t>Vejledende generelt effektiviseringskrav til anlægsomkostningerne i ØR24</t>
  </si>
  <si>
    <t>Anlægsprojekter igangsat senest 1. marts 2016</t>
  </si>
  <si>
    <t>Generelt effektiviseringskrav til anlægsomkostningerne i ØR22</t>
  </si>
  <si>
    <t>Kontrol med overholdelse af økonomiske rammer</t>
  </si>
  <si>
    <t>Kontrol med overholdelse af den økonomiske ramme</t>
  </si>
  <si>
    <t>Videreførte omkostninger fra den økonomiske ramme for 2023</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</si>
  <si>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</si>
  <si>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</si>
  <si>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</si>
  <si>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</si>
  <si>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</si>
  <si>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</si>
  <si>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</si>
  <si>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</si>
  <si>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</si>
  <si>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</si>
  <si>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</si>
  <si>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Tidligere opgjorte over/underdækninger</t>
  </si>
  <si>
    <t>Over/underdækning i 2019</t>
  </si>
  <si>
    <t>Allerede indregnet fradrag i jeres økonomiske rammer</t>
  </si>
  <si>
    <t>Indregnet fradrag i økonomisk ramme for 2023</t>
  </si>
  <si>
    <t>Indregnet fradrag i økonomisk ramme for 2024</t>
  </si>
  <si>
    <t>Kontrol med de økonomiske rammer til indregning</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</si>
  <si>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</si>
  <si>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</si>
  <si>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</si>
  <si>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</si>
  <si>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</si>
  <si>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</si>
  <si>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</si>
  <si>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</si>
  <si>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</si>
  <si>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Over/underdækning i 2020</t>
  </si>
  <si>
    <t>Nye tillæg i alt i 2022-prisniveau</t>
  </si>
  <si>
    <t>Tilknyttet virksomhed under hovedvirksomheden i alt (2022-prisniveau)</t>
  </si>
  <si>
    <t>Prisudvikling til brug for nye omkostninger i ØR 2023</t>
  </si>
  <si>
    <t>Generelt effektiviseringskrav til brug for nye anlægsomkostninger i ØR 2023</t>
  </si>
  <si>
    <t xml:space="preserve"> </t>
  </si>
  <si>
    <t>Anlægsprojekter igangsat senest den 1. marts 2016</t>
  </si>
  <si>
    <t>Samlet økonomisk ramme for 2024</t>
  </si>
  <si>
    <t>Generelt effektiviseringskrav til driftsomkostningerne i ØR23</t>
  </si>
  <si>
    <t xml:space="preserve">kr. </t>
  </si>
  <si>
    <t>Generelt effektiviseringskrav til anlægsomkostninger i de økonomiske rammer for 2023</t>
  </si>
  <si>
    <t>Generelt effektiviseringskrav til anlægsomkostninger i de økonomiske rammer for 2024</t>
  </si>
  <si>
    <t xml:space="preserve">Anlægsprojekter (§ 19) </t>
  </si>
  <si>
    <t>Effektiviseringskrav (generelt og individuelt) - Drift</t>
  </si>
  <si>
    <t>Effektiviseringskrav (generelt og individuelt) - Anlæg</t>
  </si>
  <si>
    <t>Generelt effektiviseringskrav til driftsomkostninger i de økonomiske rammer for 2024</t>
  </si>
  <si>
    <t>Generelt effektiviseringskrav til driftsomkostninger i de økonomiske rammer for 2023</t>
  </si>
  <si>
    <t>Nye varige anlægsomkostninger i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</si>
  <si>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</si>
  <si>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</si>
  <si>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</si>
  <si>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</si>
  <si>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</si>
  <si>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</si>
  <si>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</si>
  <si>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</si>
  <si>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</si>
  <si>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</si>
  <si>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</si>
  <si>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</si>
  <si>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</si>
  <si>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</si>
  <si>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</si>
  <si>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</si>
  <si>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</si>
  <si>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</si>
  <si>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</si>
  <si>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</si>
  <si>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</si>
  <si>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</si>
  <si>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</si>
  <si>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</si>
  <si>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</si>
  <si>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</si>
  <si>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</si>
  <si>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</si>
  <si>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</si>
  <si>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</si>
  <si>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</si>
  <si>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Prisudvikling til brug for nye omkostninger i ØR 2024</t>
  </si>
  <si>
    <t>Fane 3: Videreførte omkostninger fra den økonomiske ramme for 2023</t>
  </si>
  <si>
    <t>Oversigt over den økonomiske ramme for 2023</t>
  </si>
  <si>
    <t>Fane 2.3: Samlet økonomisk ramme for 2026</t>
  </si>
  <si>
    <t>Videreførte omkostninger fra den økonomiske ramme for 2026</t>
  </si>
  <si>
    <t>Økonomisk ramme for 2027</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</si>
  <si>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</si>
  <si>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</si>
  <si>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</si>
  <si>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</si>
  <si>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</si>
  <si>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</si>
  <si>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Omkostninger i 2022</t>
  </si>
  <si>
    <t>Faktiske ikke-påvirkelige omkostninger i 2022</t>
  </si>
  <si>
    <t>Ikke-påvirkelige omkostninger i 2022-prisniveau</t>
  </si>
  <si>
    <t>Ikke-påvirkelige omkostninger i 2024-prisniveau</t>
  </si>
  <si>
    <t>Fane 7: Kontrol med overholdelse af den økonomiske ramme for 2022</t>
  </si>
  <si>
    <t>Omkostninger til § 19-tillæg i alt - 2022 prisniveau</t>
  </si>
  <si>
    <t>Nye tillæg i alt i 2023-prisniveau</t>
  </si>
  <si>
    <t>Engangstillæg til de økonomiske rammer for 2024</t>
  </si>
  <si>
    <t>Engangstillæg i alt i 2022-prisniveau</t>
  </si>
  <si>
    <t>Engangstillæg i alt i 2024-prisniveau</t>
  </si>
  <si>
    <t>Tilknyttet virksomhed under hovedvirksomheden i alt (2023-prisniveau)</t>
  </si>
  <si>
    <t>Fane 2.4: Samlet økonomisk ramme for 2027</t>
  </si>
  <si>
    <t>Nye varige anlægsomkostninger i de økonomiske rammer for 2024</t>
  </si>
  <si>
    <t>Generelt effektiviseringskrav til brug for nye anlægsomkostninger i ØR 2024</t>
  </si>
  <si>
    <t>Nye varige driftsomkostninger til de økonomiske rammer for 2018</t>
  </si>
  <si>
    <t>Nye varige driftsomkostninger til de økonomiske rammer for 2019</t>
  </si>
  <si>
    <t>Nye varige driftsomkostninger til de økonomiske rammer for 2021</t>
  </si>
  <si>
    <t>Nye varige driftsomkostninger i de økonomiske rammer for 2022</t>
  </si>
  <si>
    <t>Nye varige driftsomkostninger til de økonomiske rammer for 2023</t>
  </si>
  <si>
    <t>Nye varige driftsomkostninger til de økonomiske rammer for 2024</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</si>
  <si>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</si>
  <si>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</si>
  <si>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</si>
  <si>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</si>
  <si>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i de økonomiske rammer for 2022</t>
  </si>
  <si>
    <t>Inidividuelt effektiviseringskrav til de økonomiske rammer for 2023-2024</t>
  </si>
  <si>
    <t>Bortfald eller nedsættelse i alt i 2023-prisniveau</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</si>
  <si>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</si>
  <si>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</si>
  <si>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</si>
  <si>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</si>
  <si>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</si>
  <si>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</si>
  <si>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</si>
  <si>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</si>
  <si>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Hårupvej_Ansøgning-flytning-af-forsyningsledninger DOK-23-34443 1.0</t>
  </si>
  <si>
    <t>tillæg-til-udviddelse_Vandforsyning_Silkeborg Vand-11-stk-5</t>
  </si>
  <si>
    <t>Ingen engangstillæg</t>
  </si>
  <si>
    <t>Afgift for ledningsført vand</t>
  </si>
  <si>
    <t>Afgift til Forsyningssekretariatet</t>
  </si>
  <si>
    <t>Køb af ydelser og produkter fra andre vandselskaber</t>
  </si>
  <si>
    <t>Ejendomsskat</t>
  </si>
  <si>
    <t>Tjenestemandspensioner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</si>
  <si>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</si>
  <si>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</si>
  <si>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</si>
  <si>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</si>
  <si>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</si>
  <si>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</si>
  <si>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</si>
  <si>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</si>
  <si>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</si>
  <si>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</si>
  <si>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Øvrige afgifter - tinglysningsafgifter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</si>
</sst>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3" borderId="1" xfId="0" applyFont="1" applyFill="1" applyBorder="1" applyAlignment="1" applyProtection="1"/>
    <xf numFmtId="0" fontId="2" fillId="2" borderId="0" xfId="0" applyFont="1" applyFill="1" applyAlignment="1" applyProtection="1">
      <alignment vertical="center" wrapText="1"/>
    </xf>
    <xf numFmtId="0" fontId="2" fillId="2" borderId="7" xfId="0" applyFont="1" applyFill="1" applyBorder="1" applyAlignment="1" applyProtection="1">
      <alignment vertical="center" wrapText="1"/>
    </xf>
    <xf numFmtId="0" fontId="8" fillId="4" borderId="3" xfId="0" applyFont="1" applyFill="1" applyBorder="1" applyAlignment="1" applyProtection="1">
      <alignment wrapText="1"/>
    </xf>
    <xf numFmtId="0" fontId="8" fillId="8" borderId="2" xfId="0" applyFont="1" applyFill="1" applyBorder="1" applyAlignment="1" applyProtection="1">
      <alignment wrapText="1"/>
    </xf>
    <xf numFmtId="0" fontId="8" fillId="4" borderId="2" xfId="0" applyFont="1" applyFill="1" applyBorder="1" applyAlignment="1" applyProtection="1"/>
    <xf numFmtId="1" fontId="8" fillId="0" borderId="1" xfId="0" applyNumberFormat="1" applyFont="1" applyFill="1" applyBorder="1" applyProtection="1"/>
    <xf numFmtId="0" fontId="8" fillId="8" borderId="4" xfId="0" applyFont="1" applyFill="1" applyBorder="1" applyAlignment="1" applyProtection="1">
      <alignment horizontal="lef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 fontId="7" fillId="3" borderId="6" xfId="0" applyNumberFormat="1" applyFont="1" applyFill="1" applyBorder="1" applyAlignment="1" applyProtection="1"/>
    <xf numFmtId="3" fontId="8" fillId="0" borderId="1" xfId="0" applyNumberFormat="1" applyFont="1" applyFill="1" applyBorder="1" applyProtection="1"/>
    <xf numFmtId="0" fontId="8" fillId="0" borderId="1" xfId="0" applyFont="1" applyFill="1" applyBorder="1" applyAlignment="1" applyProtection="1"/>
    <xf numFmtId="165" fontId="0" fillId="2" borderId="0" xfId="1" applyNumberFormat="1" applyFont="1" applyFill="1" applyProtection="1"/>
    <xf numFmtId="165" fontId="8" fillId="8" borderId="1" xfId="1" applyNumberFormat="1" applyFont="1" applyFill="1" applyBorder="1" applyProtection="1"/>
    <xf numFmtId="165" fontId="7" fillId="3" borderId="6" xfId="1" applyNumberFormat="1" applyFont="1" applyFill="1" applyBorder="1" applyAlignment="1" applyProtection="1"/>
    <xf numFmtId="165" fontId="0" fillId="0" borderId="0" xfId="1" applyNumberFormat="1" applyFont="1" applyProtection="1"/>
    <xf numFmtId="165" fontId="2" fillId="2" borderId="0" xfId="1" applyNumberFormat="1" applyFont="1" applyFill="1" applyAlignment="1" applyProtection="1">
      <alignment vertical="center" wrapText="1"/>
    </xf>
    <xf numFmtId="165" fontId="2" fillId="2" borderId="7" xfId="1" applyNumberFormat="1" applyFont="1" applyFill="1" applyBorder="1" applyAlignment="1" applyProtection="1">
      <alignment vertical="center" wrapText="1"/>
    </xf>
    <xf numFmtId="165" fontId="8" fillId="0" borderId="1" xfId="1" applyNumberFormat="1" applyFont="1" applyFill="1" applyBorder="1" applyProtection="1"/>
    <xf numFmtId="10" fontId="8" fillId="0" borderId="1" xfId="0" applyNumberFormat="1" applyFont="1" applyFill="1" applyBorder="1" applyProtection="1"/>
    <xf numFmtId="10" fontId="8" fillId="0" borderId="1" xfId="4" applyNumberFormat="1" applyFont="1" applyFill="1" applyBorder="1" applyAlignment="1" applyProtection="1"/>
    <xf numFmtId="0" fontId="8" fillId="8" borderId="2" xfId="0" quotePrefix="1" applyFont="1" applyFill="1" applyBorder="1" applyAlignment="1" applyProtection="1">
      <alignmen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quotePrefix="1" applyFont="1" applyFill="1" applyBorder="1" applyAlignment="1" applyProtection="1">
      <alignment horizontal="left" wrapText="1"/>
    </xf>
    <xf numFmtId="49" fontId="8" fillId="8" borderId="2" xfId="0" applyNumberFormat="1" applyFont="1" applyFill="1" applyBorder="1" applyAlignment="1" applyProtection="1">
      <alignment wrapText="1"/>
    </xf>
    <xf numFmtId="166" fontId="8" fillId="8" borderId="1" xfId="1" applyNumberFormat="1" applyFont="1" applyFill="1" applyBorder="1" applyProtection="1"/>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3" fontId="8" fillId="8" borderId="1" xfId="0" quotePrefix="1"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93" zoomScaleNormal="100" zoomScalePageLayoutView="93"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3" t="s">
        <v>4</v>
      </c>
      <c r="E6" s="93"/>
      <c r="F6" s="93"/>
      <c r="G6" s="93"/>
      <c r="H6" s="3"/>
      <c r="I6" s="1"/>
    </row>
    <row r="7" spans="1:9" ht="15" customHeight="1" x14ac:dyDescent="0.25">
      <c r="A7" s="1"/>
      <c r="B7" s="1"/>
      <c r="C7" s="3"/>
      <c r="D7" s="93"/>
      <c r="E7" s="93"/>
      <c r="F7" s="93"/>
      <c r="G7" s="93"/>
      <c r="H7" s="3"/>
      <c r="I7" s="1"/>
    </row>
    <row r="8" spans="1:9" ht="15.75" x14ac:dyDescent="0.25">
      <c r="A8" s="1"/>
      <c r="B8" s="1"/>
      <c r="C8" s="4"/>
      <c r="D8" s="98" t="s">
        <v>245</v>
      </c>
      <c r="E8" s="98"/>
      <c r="F8" s="98"/>
      <c r="G8" s="98"/>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7" t="s">
        <v>5</v>
      </c>
      <c r="E11" s="97"/>
      <c r="F11" s="97"/>
      <c r="G11" s="97"/>
      <c r="H11" s="5"/>
      <c r="I11" s="1"/>
    </row>
    <row r="12" spans="1:9" x14ac:dyDescent="0.25">
      <c r="A12" s="1"/>
      <c r="B12" s="1"/>
      <c r="C12" s="1"/>
      <c r="D12" s="1"/>
      <c r="E12" s="1"/>
      <c r="F12" s="1"/>
      <c r="G12" s="1"/>
      <c r="H12" s="1"/>
      <c r="I12" s="1"/>
    </row>
    <row r="13" spans="1:9" x14ac:dyDescent="0.25">
      <c r="A13" s="1"/>
      <c r="B13" s="1"/>
      <c r="C13" s="6" t="s">
        <v>6</v>
      </c>
      <c r="D13" s="99" t="s">
        <v>164</v>
      </c>
      <c r="E13" s="100"/>
      <c r="F13" s="100"/>
      <c r="G13" s="101"/>
      <c r="H13" s="1"/>
      <c r="I13" s="1"/>
    </row>
    <row r="14" spans="1:9" x14ac:dyDescent="0.25">
      <c r="A14" s="1"/>
      <c r="B14" s="1"/>
      <c r="C14" s="6" t="s">
        <v>14</v>
      </c>
      <c r="D14" s="90" t="s">
        <v>203</v>
      </c>
      <c r="E14" s="91"/>
      <c r="F14" s="91"/>
      <c r="G14" s="92"/>
      <c r="H14" s="1"/>
      <c r="I14" s="1"/>
    </row>
    <row r="15" spans="1:9" x14ac:dyDescent="0.25">
      <c r="A15" s="1"/>
      <c r="B15" s="1"/>
      <c r="C15" s="6" t="s">
        <v>30</v>
      </c>
      <c r="D15" s="90" t="s">
        <v>148</v>
      </c>
      <c r="E15" s="91"/>
      <c r="F15" s="91"/>
      <c r="G15" s="92"/>
      <c r="H15" s="1"/>
      <c r="I15" s="1"/>
    </row>
    <row r="16" spans="1:9" x14ac:dyDescent="0.25">
      <c r="A16" s="1"/>
      <c r="B16" s="1"/>
      <c r="C16" s="6" t="s">
        <v>31</v>
      </c>
      <c r="D16" s="90" t="s">
        <v>200</v>
      </c>
      <c r="E16" s="91"/>
      <c r="F16" s="91"/>
      <c r="G16" s="92"/>
      <c r="H16" s="1"/>
      <c r="I16" s="1"/>
    </row>
    <row r="17" spans="1:9" x14ac:dyDescent="0.25">
      <c r="A17" s="1"/>
      <c r="B17" s="1"/>
      <c r="C17" s="6" t="s">
        <v>107</v>
      </c>
      <c r="D17" s="90" t="s">
        <v>201</v>
      </c>
      <c r="E17" s="91"/>
      <c r="F17" s="91"/>
      <c r="G17" s="92"/>
      <c r="H17" s="1"/>
      <c r="I17" s="1"/>
    </row>
    <row r="18" spans="1:9" x14ac:dyDescent="0.25">
      <c r="A18" s="1"/>
      <c r="B18" s="1"/>
      <c r="C18" s="6" t="s">
        <v>93</v>
      </c>
      <c r="D18" s="102" t="s">
        <v>81</v>
      </c>
      <c r="E18" s="103"/>
      <c r="F18" s="103"/>
      <c r="G18" s="104"/>
      <c r="H18" s="1"/>
      <c r="I18" s="1"/>
    </row>
    <row r="19" spans="1:9" x14ac:dyDescent="0.25">
      <c r="A19" s="1"/>
      <c r="B19" s="1"/>
      <c r="C19" s="6" t="s">
        <v>94</v>
      </c>
      <c r="D19" s="102" t="s">
        <v>82</v>
      </c>
      <c r="E19" s="103"/>
      <c r="F19" s="103"/>
      <c r="G19" s="104"/>
      <c r="H19" s="1"/>
      <c r="I19" s="1"/>
    </row>
    <row r="20" spans="1:9" x14ac:dyDescent="0.25">
      <c r="A20" s="1"/>
      <c r="B20" s="1"/>
      <c r="C20" s="6" t="s">
        <v>7</v>
      </c>
      <c r="D20" s="102" t="s">
        <v>9</v>
      </c>
      <c r="E20" s="103"/>
      <c r="F20" s="103"/>
      <c r="G20" s="104"/>
      <c r="H20" s="1"/>
      <c r="I20" s="1"/>
    </row>
    <row r="21" spans="1:9" x14ac:dyDescent="0.25">
      <c r="A21" s="1"/>
      <c r="B21" s="1"/>
      <c r="C21" s="6" t="s">
        <v>95</v>
      </c>
      <c r="D21" s="108" t="s">
        <v>11</v>
      </c>
      <c r="E21" s="109"/>
      <c r="F21" s="109"/>
      <c r="G21" s="110"/>
      <c r="H21" s="1"/>
      <c r="I21" s="1"/>
    </row>
    <row r="22" spans="1:9" x14ac:dyDescent="0.25">
      <c r="A22" s="1"/>
      <c r="B22" s="1"/>
      <c r="C22" s="6" t="s">
        <v>75</v>
      </c>
      <c r="D22" s="94" t="s">
        <v>202</v>
      </c>
      <c r="E22" s="95"/>
      <c r="F22" s="95"/>
      <c r="G22" s="96"/>
      <c r="H22" s="1"/>
      <c r="I22" s="1"/>
    </row>
    <row r="23" spans="1:9" x14ac:dyDescent="0.25">
      <c r="A23" s="1"/>
      <c r="B23" s="1"/>
      <c r="C23" s="6" t="s">
        <v>8</v>
      </c>
      <c r="D23" s="94" t="s">
        <v>181</v>
      </c>
      <c r="E23" s="95"/>
      <c r="F23" s="95"/>
      <c r="G23" s="96"/>
      <c r="H23" s="1"/>
      <c r="I23" s="1"/>
    </row>
    <row r="24" spans="1:9" x14ac:dyDescent="0.25">
      <c r="A24" s="1"/>
      <c r="B24" s="1"/>
      <c r="C24" s="6" t="s">
        <v>177</v>
      </c>
      <c r="D24" s="94" t="s">
        <v>169</v>
      </c>
      <c r="E24" s="95"/>
      <c r="F24" s="95"/>
      <c r="G24" s="96"/>
      <c r="H24" s="1"/>
      <c r="I24" s="1"/>
    </row>
    <row r="25" spans="1:9" x14ac:dyDescent="0.25">
      <c r="A25" s="1"/>
      <c r="B25" s="1"/>
      <c r="C25" s="6" t="s">
        <v>178</v>
      </c>
      <c r="D25" s="94" t="s">
        <v>76</v>
      </c>
      <c r="E25" s="95"/>
      <c r="F25" s="95"/>
      <c r="G25" s="96"/>
      <c r="H25" s="1"/>
      <c r="I25" s="1"/>
    </row>
    <row r="26" spans="1:9" x14ac:dyDescent="0.25">
      <c r="A26" s="1"/>
      <c r="B26" s="1"/>
      <c r="C26" s="6" t="s">
        <v>179</v>
      </c>
      <c r="D26" s="94" t="s">
        <v>77</v>
      </c>
      <c r="E26" s="95"/>
      <c r="F26" s="95"/>
      <c r="G26" s="96"/>
      <c r="H26" s="1"/>
      <c r="I26" s="1"/>
    </row>
    <row r="27" spans="1:9" x14ac:dyDescent="0.25">
      <c r="A27" s="1"/>
      <c r="B27" s="1"/>
      <c r="C27" s="6" t="s">
        <v>96</v>
      </c>
      <c r="D27" s="94" t="s">
        <v>110</v>
      </c>
      <c r="E27" s="95"/>
      <c r="F27" s="95"/>
      <c r="G27" s="96"/>
      <c r="H27" s="1"/>
      <c r="I27" s="1"/>
    </row>
    <row r="28" spans="1:9" x14ac:dyDescent="0.25">
      <c r="A28" s="1"/>
      <c r="B28" s="1"/>
      <c r="C28" s="6" t="s">
        <v>85</v>
      </c>
      <c r="D28" s="94" t="s">
        <v>32</v>
      </c>
      <c r="E28" s="95"/>
      <c r="F28" s="95"/>
      <c r="G28" s="96"/>
      <c r="H28" s="1"/>
      <c r="I28" s="1"/>
    </row>
    <row r="29" spans="1:9" x14ac:dyDescent="0.25">
      <c r="A29" s="1"/>
      <c r="B29" s="1"/>
      <c r="C29" s="6" t="s">
        <v>180</v>
      </c>
      <c r="D29" s="105" t="s">
        <v>86</v>
      </c>
      <c r="E29" s="106"/>
      <c r="F29" s="106"/>
      <c r="G29" s="107"/>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7"/>
      <c r="B51" s="37"/>
      <c r="C51" s="37"/>
      <c r="D51" s="37"/>
      <c r="E51" s="37"/>
      <c r="F51" s="37"/>
      <c r="G51" s="37"/>
      <c r="H51" s="37"/>
      <c r="I51" s="37"/>
    </row>
  </sheetData>
  <sheetProtection algorithmName="SHA-512" hashValue="vafETCWGcEyCA6EBR1fNaKvH92b85b8Snnvp7IsMfAmXvUJqAKsB8XHf2SEMA3w8P/BYqPyhKuU/3dltlCdBvw==" saltValue="jeAuGsdG69MHpJHRNnOS9Q=="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20:G20" location="'Fane 5. Individuelt eff. krav'!A1" display="Individuelt effektiviseringskrav" xr:uid="{00000000-0004-0000-0000-00000D000000}"/>
    <hyperlink ref="D19:G19" location="'Fane 4.2. Gen. krav - anlæg'!A1" display="Generelt effektiviseringskrav på anlæg" xr:uid="{00000000-0004-0000-0000-00000E000000}"/>
    <hyperlink ref="D18:G18" location="'Fane 4.1. Gen. krav - drift'!A1" display="Generelt effektiviseringskrav på drift" xr:uid="{00000000-0004-0000-0000-00000F000000}"/>
    <hyperlink ref="D23:G23" location="'Fane 8. Skattesagen'!A1" display="Skattesagen" xr:uid="{00000000-0004-0000-0000-000010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92</v>
      </c>
      <c r="C3" s="111"/>
      <c r="D3" s="111"/>
      <c r="E3" s="1"/>
      <c r="F3" s="1"/>
    </row>
    <row r="4" spans="1:6" ht="15" customHeight="1" x14ac:dyDescent="0.25">
      <c r="A4" s="1"/>
      <c r="B4" s="111"/>
      <c r="C4" s="111"/>
      <c r="D4" s="11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5" t="s">
        <v>219</v>
      </c>
      <c r="C8" s="116"/>
      <c r="D8" s="117"/>
      <c r="E8" s="1"/>
      <c r="F8" s="1"/>
    </row>
    <row r="9" spans="1:6" ht="15" customHeight="1" x14ac:dyDescent="0.25">
      <c r="A9" s="1"/>
      <c r="B9" s="34" t="s">
        <v>28</v>
      </c>
      <c r="C9" s="11" t="s">
        <v>218</v>
      </c>
      <c r="D9" s="11"/>
      <c r="E9" s="1"/>
      <c r="F9" s="1"/>
    </row>
    <row r="10" spans="1:6" x14ac:dyDescent="0.25">
      <c r="A10" s="1"/>
      <c r="B10" s="82" t="s">
        <v>256</v>
      </c>
      <c r="C10" s="9">
        <v>16605820</v>
      </c>
      <c r="D10" s="14" t="s">
        <v>3</v>
      </c>
      <c r="E10" s="1"/>
      <c r="F10" s="1"/>
    </row>
    <row r="11" spans="1:6" x14ac:dyDescent="0.25">
      <c r="A11" s="1"/>
      <c r="B11" s="82" t="s">
        <v>257</v>
      </c>
      <c r="C11" s="9">
        <v>116961</v>
      </c>
      <c r="D11" s="14" t="s">
        <v>3</v>
      </c>
      <c r="E11" s="1"/>
      <c r="F11" s="1"/>
    </row>
    <row r="12" spans="1:6" x14ac:dyDescent="0.25">
      <c r="A12" s="1"/>
      <c r="B12" s="82" t="s">
        <v>258</v>
      </c>
      <c r="C12" s="9">
        <v>34902</v>
      </c>
      <c r="D12" s="14" t="s">
        <v>3</v>
      </c>
      <c r="E12" s="1"/>
      <c r="F12" s="1"/>
    </row>
    <row r="13" spans="1:6" x14ac:dyDescent="0.25">
      <c r="A13" s="1"/>
      <c r="B13" s="82" t="s">
        <v>259</v>
      </c>
      <c r="C13" s="9">
        <v>253576</v>
      </c>
      <c r="D13" s="14" t="s">
        <v>3</v>
      </c>
      <c r="E13" s="1"/>
      <c r="F13" s="1"/>
    </row>
    <row r="14" spans="1:6" x14ac:dyDescent="0.25">
      <c r="A14" s="1"/>
      <c r="B14" s="82" t="s">
        <v>260</v>
      </c>
      <c r="C14" s="9">
        <v>1010435</v>
      </c>
      <c r="D14" s="14" t="s">
        <v>3</v>
      </c>
      <c r="E14" s="1"/>
      <c r="F14" s="1"/>
    </row>
    <row r="15" spans="1:6" x14ac:dyDescent="0.25">
      <c r="A15" s="1"/>
      <c r="B15" s="82" t="s">
        <v>271</v>
      </c>
      <c r="C15" s="9">
        <v>31525</v>
      </c>
      <c r="D15" s="14" t="s">
        <v>3</v>
      </c>
      <c r="E15" s="1"/>
      <c r="F15" s="1"/>
    </row>
    <row r="16" spans="1:6" x14ac:dyDescent="0.25">
      <c r="A16" s="1"/>
      <c r="B16" s="82"/>
      <c r="C16" s="9"/>
      <c r="D16" s="14" t="s">
        <v>3</v>
      </c>
      <c r="E16" s="1"/>
      <c r="F16" s="1"/>
    </row>
    <row r="17" spans="1:6" x14ac:dyDescent="0.25">
      <c r="A17" s="1"/>
      <c r="B17" s="82"/>
      <c r="C17" s="9"/>
      <c r="D17" s="14" t="s">
        <v>3</v>
      </c>
      <c r="E17" s="1"/>
      <c r="F17" s="1"/>
    </row>
    <row r="18" spans="1:6" x14ac:dyDescent="0.25">
      <c r="A18" s="1"/>
      <c r="B18" s="62" t="s">
        <v>220</v>
      </c>
      <c r="C18" s="12">
        <f>SUM(C10:C17)</f>
        <v>18053219</v>
      </c>
      <c r="D18" s="13" t="s">
        <v>3</v>
      </c>
      <c r="E18" s="1"/>
      <c r="F18" s="1"/>
    </row>
    <row r="19" spans="1:6" x14ac:dyDescent="0.25">
      <c r="A19" s="1"/>
      <c r="B19" s="62" t="s">
        <v>221</v>
      </c>
      <c r="C19" s="12">
        <f>C18*(1+'Fane 13. Nøgletal'!C16)^2</f>
        <v>21088482.15809216</v>
      </c>
      <c r="D19" s="13" t="s">
        <v>3</v>
      </c>
      <c r="E19" s="1"/>
      <c r="F19" s="1"/>
    </row>
    <row r="20" spans="1:6" x14ac:dyDescent="0.25">
      <c r="A20" s="1"/>
      <c r="B20" s="16"/>
      <c r="C20" s="15"/>
      <c r="D20" s="15"/>
      <c r="E20" s="1"/>
      <c r="F20" s="1"/>
    </row>
    <row r="21" spans="1:6" x14ac:dyDescent="0.25">
      <c r="A21" s="1"/>
      <c r="B21" s="16"/>
      <c r="C21" s="15"/>
      <c r="D21" s="15"/>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7"/>
      <c r="B51" s="37"/>
      <c r="C51" s="37"/>
      <c r="D51" s="37"/>
      <c r="E51" s="37"/>
      <c r="F51" s="37"/>
    </row>
    <row r="52" spans="1:6" x14ac:dyDescent="0.25">
      <c r="A52" s="37"/>
      <c r="B52" s="37"/>
      <c r="C52" s="37"/>
      <c r="D52" s="37"/>
      <c r="E52" s="37"/>
      <c r="F52" s="37"/>
    </row>
    <row r="53" spans="1:6" x14ac:dyDescent="0.25">
      <c r="A53" s="37"/>
      <c r="B53" s="37"/>
      <c r="C53" s="37"/>
      <c r="D53" s="37"/>
      <c r="E53" s="37"/>
      <c r="F53" s="37"/>
    </row>
    <row r="54" spans="1:6" x14ac:dyDescent="0.25">
      <c r="A54" s="37"/>
      <c r="B54" s="37"/>
      <c r="C54" s="37"/>
      <c r="D54" s="37"/>
      <c r="E54" s="37"/>
      <c r="F54" s="37"/>
    </row>
    <row r="55" spans="1:6" x14ac:dyDescent="0.25">
      <c r="A55" s="37"/>
      <c r="B55" s="37"/>
      <c r="C55" s="37"/>
      <c r="D55" s="37"/>
      <c r="E55" s="37"/>
      <c r="F55" s="37"/>
    </row>
  </sheetData>
  <sheetProtection algorithmName="SHA-512" hashValue="atBt7sz693F89lGZurxnad7TISPHr17HbT1TJDRyIuj+hJgPRuxYFqhGnuD2vgoKEMIJ/jp/vl98LRM+4jNlNw==" saltValue="Mzy/yX5Pgbzr9HnvmE8wOg==" spinCount="100000" sheet="1" objects="1" scenarios="1"/>
  <mergeCells count="2">
    <mergeCell ref="B3:D4"/>
    <mergeCell ref="B8:D8"/>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17164-D2ED-4DDF-9389-4E4DFC413C62}">
  <dimension ref="A1:G52"/>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222</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1"/>
      <c r="C6" s="68"/>
      <c r="D6" s="69"/>
      <c r="E6" s="74"/>
      <c r="F6" s="74"/>
      <c r="G6" s="1"/>
    </row>
    <row r="7" spans="1:7" x14ac:dyDescent="0.25">
      <c r="A7" s="1"/>
      <c r="B7" s="1"/>
      <c r="C7" s="1"/>
      <c r="D7" s="1"/>
      <c r="E7" s="70"/>
      <c r="F7" s="1"/>
      <c r="G7" s="1"/>
    </row>
    <row r="8" spans="1:7" x14ac:dyDescent="0.25">
      <c r="A8" s="1"/>
      <c r="B8" s="115" t="s">
        <v>142</v>
      </c>
      <c r="C8" s="116"/>
      <c r="D8" s="116"/>
      <c r="E8" s="116"/>
      <c r="F8" s="117"/>
      <c r="G8" s="1"/>
    </row>
    <row r="9" spans="1:7" x14ac:dyDescent="0.25">
      <c r="A9" s="1"/>
      <c r="B9" s="118" t="s">
        <v>143</v>
      </c>
      <c r="C9" s="119"/>
      <c r="D9" s="120"/>
      <c r="E9" s="73">
        <v>-5414360</v>
      </c>
      <c r="F9" s="14" t="s">
        <v>3</v>
      </c>
      <c r="G9" s="1"/>
    </row>
    <row r="10" spans="1:7" x14ac:dyDescent="0.25">
      <c r="A10" s="1"/>
      <c r="B10" s="118" t="s">
        <v>157</v>
      </c>
      <c r="C10" s="119"/>
      <c r="D10" s="120"/>
      <c r="E10" s="73">
        <v>-8004771</v>
      </c>
      <c r="F10" s="14" t="s">
        <v>3</v>
      </c>
      <c r="G10" s="1"/>
    </row>
    <row r="11" spans="1:7" x14ac:dyDescent="0.25">
      <c r="A11" s="1"/>
      <c r="B11" s="118" t="s">
        <v>261</v>
      </c>
      <c r="C11" s="119"/>
      <c r="D11" s="120"/>
      <c r="E11" s="73">
        <v>4122767</v>
      </c>
      <c r="F11" s="14" t="s">
        <v>3</v>
      </c>
      <c r="G11" s="1"/>
    </row>
    <row r="12" spans="1:7" x14ac:dyDescent="0.25">
      <c r="A12" s="1"/>
      <c r="B12" s="62"/>
      <c r="C12" s="63"/>
      <c r="D12" s="63"/>
      <c r="E12" s="63"/>
      <c r="F12" s="20"/>
      <c r="G12" s="1"/>
    </row>
    <row r="13" spans="1:7" ht="51.75" customHeight="1" x14ac:dyDescent="0.25">
      <c r="A13" s="1"/>
      <c r="B13" s="136" t="s">
        <v>262</v>
      </c>
      <c r="C13" s="137"/>
      <c r="D13" s="137"/>
      <c r="E13" s="137"/>
      <c r="F13" s="138"/>
      <c r="G13" s="1"/>
    </row>
    <row r="14" spans="1:7" x14ac:dyDescent="0.25">
      <c r="A14" s="1"/>
      <c r="B14" s="1"/>
      <c r="C14" s="1"/>
      <c r="D14" s="1"/>
      <c r="E14" s="1"/>
      <c r="F14" s="1"/>
      <c r="G14" s="1"/>
    </row>
    <row r="15" spans="1:7" x14ac:dyDescent="0.25">
      <c r="A15" s="1"/>
      <c r="B15" s="115" t="s">
        <v>144</v>
      </c>
      <c r="C15" s="116"/>
      <c r="D15" s="116"/>
      <c r="E15" s="116"/>
      <c r="F15" s="117"/>
      <c r="G15" s="1"/>
    </row>
    <row r="16" spans="1:7" x14ac:dyDescent="0.25">
      <c r="A16" s="1"/>
      <c r="B16" s="118" t="s">
        <v>145</v>
      </c>
      <c r="C16" s="119"/>
      <c r="D16" s="120"/>
      <c r="E16" s="9">
        <v>-6885630</v>
      </c>
      <c r="F16" s="14" t="s">
        <v>3</v>
      </c>
      <c r="G16" s="1"/>
    </row>
    <row r="17" spans="1:7" x14ac:dyDescent="0.25">
      <c r="A17" s="1"/>
      <c r="B17" s="118" t="s">
        <v>146</v>
      </c>
      <c r="C17" s="119"/>
      <c r="D17" s="120"/>
      <c r="E17" s="9">
        <v>-6885630</v>
      </c>
      <c r="F17" s="14" t="s">
        <v>3</v>
      </c>
      <c r="G17" s="1"/>
    </row>
    <row r="18" spans="1:7" x14ac:dyDescent="0.25">
      <c r="A18" s="1"/>
      <c r="B18" s="62"/>
      <c r="C18" s="63"/>
      <c r="D18" s="63"/>
      <c r="E18" s="63"/>
      <c r="F18" s="20"/>
      <c r="G18" s="1"/>
    </row>
    <row r="19" spans="1:7" ht="30.75" customHeight="1" x14ac:dyDescent="0.25">
      <c r="A19" s="1"/>
      <c r="B19" s="136" t="s">
        <v>263</v>
      </c>
      <c r="C19" s="137"/>
      <c r="D19" s="137"/>
      <c r="E19" s="137"/>
      <c r="F19" s="138"/>
      <c r="G19" s="1"/>
    </row>
    <row r="20" spans="1:7" x14ac:dyDescent="0.25">
      <c r="A20" s="1"/>
      <c r="B20" s="1"/>
      <c r="C20" s="1"/>
      <c r="D20" s="1"/>
      <c r="E20" s="1"/>
      <c r="F20" s="1"/>
      <c r="G20" s="1"/>
    </row>
    <row r="21" spans="1:7" x14ac:dyDescent="0.25">
      <c r="A21" s="1"/>
      <c r="B21" s="75" t="s">
        <v>264</v>
      </c>
      <c r="C21" s="76"/>
      <c r="D21" s="76"/>
      <c r="E21" s="76"/>
      <c r="F21" s="77"/>
      <c r="G21" s="1"/>
    </row>
    <row r="22" spans="1:7" x14ac:dyDescent="0.25">
      <c r="A22" s="1"/>
      <c r="B22" s="78" t="s">
        <v>265</v>
      </c>
      <c r="C22" s="79"/>
      <c r="D22" s="80"/>
      <c r="E22" s="9">
        <v>46594180</v>
      </c>
      <c r="F22" s="14" t="s">
        <v>3</v>
      </c>
      <c r="G22" s="1"/>
    </row>
    <row r="23" spans="1:7" x14ac:dyDescent="0.25">
      <c r="A23" s="1"/>
      <c r="B23" s="78" t="s">
        <v>266</v>
      </c>
      <c r="C23" s="79"/>
      <c r="D23" s="80"/>
      <c r="E23" s="9">
        <v>43975769</v>
      </c>
      <c r="F23" s="14" t="s">
        <v>3</v>
      </c>
      <c r="G23" s="1"/>
    </row>
    <row r="24" spans="1:7" x14ac:dyDescent="0.25">
      <c r="A24" s="1"/>
      <c r="B24" s="78" t="s">
        <v>29</v>
      </c>
      <c r="C24" s="79"/>
      <c r="D24" s="80"/>
      <c r="E24" s="9">
        <v>0</v>
      </c>
      <c r="F24" s="14" t="s">
        <v>3</v>
      </c>
      <c r="G24" s="1"/>
    </row>
    <row r="25" spans="1:7" x14ac:dyDescent="0.25">
      <c r="A25" s="1"/>
      <c r="B25" s="83" t="s">
        <v>267</v>
      </c>
      <c r="C25" s="84"/>
      <c r="D25" s="85"/>
      <c r="E25" s="10">
        <f>E22-(E23-E24)</f>
        <v>2618411</v>
      </c>
      <c r="F25" s="17" t="s">
        <v>3</v>
      </c>
      <c r="G25" s="1"/>
    </row>
    <row r="26" spans="1:7" x14ac:dyDescent="0.25">
      <c r="A26" s="1"/>
      <c r="B26" s="62"/>
      <c r="C26" s="63"/>
      <c r="D26" s="63"/>
      <c r="E26" s="63"/>
      <c r="F26" s="20"/>
      <c r="G26" s="1"/>
    </row>
    <row r="27" spans="1:7" x14ac:dyDescent="0.25">
      <c r="A27" s="1"/>
      <c r="B27" s="1"/>
      <c r="C27" s="1"/>
      <c r="D27" s="1"/>
      <c r="E27" s="1"/>
      <c r="F27" s="1"/>
      <c r="G27" s="1"/>
    </row>
    <row r="28" spans="1:7" x14ac:dyDescent="0.25">
      <c r="A28" s="1"/>
      <c r="B28" s="115" t="s">
        <v>268</v>
      </c>
      <c r="C28" s="116"/>
      <c r="D28" s="116"/>
      <c r="E28" s="116"/>
      <c r="F28" s="117"/>
      <c r="G28" s="1"/>
    </row>
    <row r="29" spans="1:7" x14ac:dyDescent="0.25">
      <c r="A29" s="1"/>
      <c r="B29" s="139" t="s">
        <v>269</v>
      </c>
      <c r="C29" s="140"/>
      <c r="D29" s="141"/>
      <c r="E29" s="71">
        <f>IF(AND(E17&lt;0,E25&gt;0,ABS(SUM(E16:E17))&lt;E25),ABS(E16),IF(AND(E17&lt;0,E25&gt;0,ABS(SUM(E16:E17))&gt;E25),SUM(E16,E25),0))</f>
        <v>-4267219</v>
      </c>
      <c r="F29" s="17" t="s">
        <v>3</v>
      </c>
      <c r="G29" s="1"/>
    </row>
    <row r="30" spans="1:7" x14ac:dyDescent="0.25">
      <c r="A30" s="1"/>
      <c r="B30" s="115"/>
      <c r="C30" s="116"/>
      <c r="D30" s="116"/>
      <c r="E30" s="116"/>
      <c r="F30" s="117"/>
      <c r="G30" s="1"/>
    </row>
    <row r="31" spans="1:7" x14ac:dyDescent="0.25">
      <c r="A31" s="1"/>
      <c r="B31" s="1"/>
      <c r="C31" s="1"/>
      <c r="D31" s="1"/>
      <c r="E31" s="1"/>
      <c r="F31" s="1"/>
      <c r="G31" s="1"/>
    </row>
    <row r="32" spans="1:7" x14ac:dyDescent="0.25">
      <c r="A32" s="1"/>
      <c r="B32" s="115" t="s">
        <v>270</v>
      </c>
      <c r="C32" s="116"/>
      <c r="D32" s="116"/>
      <c r="E32" s="116"/>
      <c r="F32" s="117"/>
      <c r="G32" s="1"/>
    </row>
    <row r="33" spans="1:7" x14ac:dyDescent="0.25">
      <c r="A33" s="1"/>
      <c r="B33" s="124" t="s">
        <v>128</v>
      </c>
      <c r="C33" s="125"/>
      <c r="D33" s="126"/>
      <c r="E33" s="72">
        <f>IF(AND(E11&gt;0,(SUM(E11)+E25)&gt;0),0,IF(AND(E11&gt;0,(SUM(E9:E11)+E25)&lt;0),(SUM(E9:E11)+E25),IF(AND(E11&lt;0,E25&lt;0),E25,0)))</f>
        <v>0</v>
      </c>
      <c r="F33" s="14" t="s">
        <v>3</v>
      </c>
      <c r="G33" s="1"/>
    </row>
    <row r="34" spans="1:7" x14ac:dyDescent="0.25">
      <c r="A34" s="1"/>
      <c r="B34" s="124" t="s">
        <v>87</v>
      </c>
      <c r="C34" s="125"/>
      <c r="D34" s="126"/>
      <c r="E34" s="9">
        <v>2</v>
      </c>
      <c r="F34" s="14" t="s">
        <v>18</v>
      </c>
      <c r="G34" s="1"/>
    </row>
    <row r="35" spans="1:7" x14ac:dyDescent="0.25">
      <c r="A35" s="1"/>
      <c r="B35" s="142" t="s">
        <v>147</v>
      </c>
      <c r="C35" s="142"/>
      <c r="D35" s="142"/>
      <c r="E35" s="71">
        <f>E33/E34</f>
        <v>0</v>
      </c>
      <c r="F35" s="17" t="s">
        <v>3</v>
      </c>
      <c r="G35" s="1"/>
    </row>
    <row r="36" spans="1:7" x14ac:dyDescent="0.25">
      <c r="A36" s="1"/>
      <c r="B36" s="133"/>
      <c r="C36" s="134"/>
      <c r="D36" s="134"/>
      <c r="E36" s="134"/>
      <c r="F36" s="135"/>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37"/>
      <c r="B47" s="37"/>
      <c r="C47" s="37"/>
      <c r="D47" s="37"/>
      <c r="E47" s="37"/>
      <c r="F47" s="37"/>
      <c r="G47" s="37"/>
    </row>
    <row r="48" spans="1:7" x14ac:dyDescent="0.25">
      <c r="A48" s="37"/>
      <c r="B48" s="37"/>
      <c r="C48" s="37"/>
      <c r="D48" s="37"/>
      <c r="E48" s="37"/>
      <c r="F48" s="37"/>
      <c r="G48" s="37"/>
    </row>
    <row r="49" spans="1:7" x14ac:dyDescent="0.25">
      <c r="A49" s="37"/>
      <c r="B49" s="37"/>
      <c r="C49" s="37"/>
      <c r="D49" s="37"/>
      <c r="E49" s="37"/>
      <c r="F49" s="37"/>
      <c r="G49" s="37"/>
    </row>
    <row r="50" spans="1:7" x14ac:dyDescent="0.25">
      <c r="A50" s="37"/>
      <c r="B50" s="37"/>
      <c r="C50" s="37"/>
      <c r="D50" s="37"/>
      <c r="E50" s="37"/>
      <c r="F50" s="37"/>
      <c r="G50" s="37"/>
    </row>
    <row r="51" spans="1:7" x14ac:dyDescent="0.25">
      <c r="A51" s="37"/>
      <c r="B51" s="37"/>
      <c r="C51" s="37"/>
      <c r="D51" s="37"/>
      <c r="E51" s="37"/>
      <c r="F51" s="37"/>
      <c r="G51" s="37"/>
    </row>
    <row r="52" spans="1:7" x14ac:dyDescent="0.25">
      <c r="B52" s="37"/>
      <c r="C52" s="37"/>
      <c r="D52" s="37"/>
      <c r="E52" s="37"/>
      <c r="F52" s="37"/>
    </row>
  </sheetData>
  <sheetProtection algorithmName="SHA-512" hashValue="qFgm4dfFQPWH1fzOF6jaCeLv2iCPtaxTDObqNlCgoJ1k4kI0y6d/qnL79AxGOQgvEzPMyK2OIStDcwuiv85Gew==" saltValue="V6H4WMfOl0Q2rr6mBZAE2Q==" spinCount="100000" sheet="1" objects="1" scenarios="1"/>
  <mergeCells count="18">
    <mergeCell ref="B13:F13"/>
    <mergeCell ref="B3:F4"/>
    <mergeCell ref="B8:F8"/>
    <mergeCell ref="B9:D9"/>
    <mergeCell ref="B10:D10"/>
    <mergeCell ref="B11:D11"/>
    <mergeCell ref="B36:F36"/>
    <mergeCell ref="B15:F15"/>
    <mergeCell ref="B16:D16"/>
    <mergeCell ref="B17:D17"/>
    <mergeCell ref="B19:F19"/>
    <mergeCell ref="B28:F28"/>
    <mergeCell ref="B29:D29"/>
    <mergeCell ref="B30:F30"/>
    <mergeCell ref="B32:F32"/>
    <mergeCell ref="B33:D33"/>
    <mergeCell ref="B34:D34"/>
    <mergeCell ref="B35:D35"/>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48" customWidth="1"/>
    <col min="2" max="2" width="22.5703125" style="48" customWidth="1"/>
    <col min="3" max="3" width="8.28515625" style="48" customWidth="1"/>
    <col min="4" max="6" width="10.7109375" style="48" customWidth="1"/>
    <col min="7" max="7" width="11.140625" style="48" customWidth="1"/>
    <col min="8" max="8" width="3.28515625" style="48" customWidth="1"/>
    <col min="9" max="9" width="4.85546875" style="48" customWidth="1"/>
    <col min="10" max="16384" width="9.140625" style="4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1" t="s">
        <v>188</v>
      </c>
      <c r="C3" s="111"/>
      <c r="D3" s="111"/>
      <c r="E3" s="111"/>
      <c r="F3" s="111"/>
      <c r="G3" s="111"/>
      <c r="H3" s="111"/>
      <c r="I3" s="1"/>
    </row>
    <row r="4" spans="1:9" ht="15" customHeight="1" x14ac:dyDescent="0.25">
      <c r="A4" s="1"/>
      <c r="B4" s="111"/>
      <c r="C4" s="111"/>
      <c r="D4" s="111"/>
      <c r="E4" s="111"/>
      <c r="F4" s="111"/>
      <c r="G4" s="111"/>
      <c r="H4" s="11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5" t="s">
        <v>189</v>
      </c>
      <c r="C8" s="116"/>
      <c r="D8" s="116"/>
      <c r="E8" s="116"/>
      <c r="F8" s="116"/>
      <c r="G8" s="116"/>
      <c r="H8" s="117"/>
      <c r="I8" s="1"/>
    </row>
    <row r="9" spans="1:9" ht="15" customHeight="1" x14ac:dyDescent="0.25">
      <c r="A9" s="1"/>
      <c r="B9" s="146" t="s">
        <v>190</v>
      </c>
      <c r="C9" s="147"/>
      <c r="D9" s="147"/>
      <c r="E9" s="147"/>
      <c r="F9" s="147"/>
      <c r="G9" s="147"/>
      <c r="H9" s="148"/>
      <c r="I9" s="1"/>
    </row>
    <row r="10" spans="1:9" x14ac:dyDescent="0.25">
      <c r="A10" s="1"/>
      <c r="B10" s="143" t="s">
        <v>191</v>
      </c>
      <c r="C10" s="144"/>
      <c r="D10" s="144"/>
      <c r="E10" s="144"/>
      <c r="F10" s="145"/>
      <c r="G10" s="50">
        <v>0</v>
      </c>
      <c r="H10" s="9" t="s">
        <v>3</v>
      </c>
      <c r="I10" s="1"/>
    </row>
    <row r="11" spans="1:9" x14ac:dyDescent="0.25">
      <c r="A11" s="1"/>
      <c r="B11" s="143" t="s">
        <v>192</v>
      </c>
      <c r="C11" s="144"/>
      <c r="D11" s="144"/>
      <c r="E11" s="144"/>
      <c r="F11" s="145"/>
      <c r="G11" s="50">
        <v>0</v>
      </c>
      <c r="H11" s="9" t="s">
        <v>3</v>
      </c>
      <c r="I11" s="1"/>
    </row>
    <row r="12" spans="1:9" x14ac:dyDescent="0.25">
      <c r="A12" s="1"/>
      <c r="B12" s="143" t="s">
        <v>193</v>
      </c>
      <c r="C12" s="144"/>
      <c r="D12" s="144"/>
      <c r="E12" s="144"/>
      <c r="F12" s="145"/>
      <c r="G12" s="9">
        <v>0</v>
      </c>
      <c r="H12" s="9" t="s">
        <v>3</v>
      </c>
      <c r="I12" s="1"/>
    </row>
    <row r="13" spans="1:9" x14ac:dyDescent="0.25">
      <c r="A13" s="1"/>
      <c r="B13" s="143" t="s">
        <v>194</v>
      </c>
      <c r="C13" s="144"/>
      <c r="D13" s="144"/>
      <c r="E13" s="144"/>
      <c r="F13" s="145"/>
      <c r="G13" s="9">
        <v>0</v>
      </c>
      <c r="H13" s="9" t="s">
        <v>3</v>
      </c>
      <c r="I13" s="1"/>
    </row>
    <row r="14" spans="1:9" x14ac:dyDescent="0.25">
      <c r="A14" s="1"/>
      <c r="B14" s="143" t="s">
        <v>195</v>
      </c>
      <c r="C14" s="144"/>
      <c r="D14" s="144"/>
      <c r="E14" s="144"/>
      <c r="F14" s="145"/>
      <c r="G14" s="9">
        <v>0</v>
      </c>
      <c r="H14" s="9" t="s">
        <v>3</v>
      </c>
      <c r="I14" s="1"/>
    </row>
    <row r="15" spans="1:9" x14ac:dyDescent="0.25">
      <c r="A15" s="1"/>
      <c r="B15" s="143" t="s">
        <v>196</v>
      </c>
      <c r="C15" s="144"/>
      <c r="D15" s="144"/>
      <c r="E15" s="144"/>
      <c r="F15" s="145"/>
      <c r="G15" s="9">
        <v>0</v>
      </c>
      <c r="H15" s="9" t="s">
        <v>3</v>
      </c>
      <c r="I15" s="1"/>
    </row>
    <row r="16" spans="1:9" x14ac:dyDescent="0.25">
      <c r="A16" s="1"/>
      <c r="B16" s="143" t="s">
        <v>197</v>
      </c>
      <c r="C16" s="144"/>
      <c r="D16" s="144"/>
      <c r="E16" s="144"/>
      <c r="F16" s="145"/>
      <c r="G16" s="9">
        <v>0</v>
      </c>
      <c r="H16" s="9" t="s">
        <v>3</v>
      </c>
      <c r="I16" s="1"/>
    </row>
    <row r="17" spans="1:9" x14ac:dyDescent="0.25">
      <c r="A17" s="1"/>
      <c r="B17" s="143" t="s">
        <v>198</v>
      </c>
      <c r="C17" s="144"/>
      <c r="D17" s="144"/>
      <c r="E17" s="144"/>
      <c r="F17" s="145"/>
      <c r="G17" s="9">
        <v>0</v>
      </c>
      <c r="H17" s="9" t="s">
        <v>3</v>
      </c>
      <c r="I17" s="1"/>
    </row>
    <row r="18" spans="1:9" x14ac:dyDescent="0.25">
      <c r="A18" s="1"/>
      <c r="B18" s="62" t="s">
        <v>199</v>
      </c>
      <c r="C18" s="49"/>
      <c r="D18" s="20"/>
      <c r="E18" s="12"/>
      <c r="F18" s="1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QuGU4Y2rGIGOVp9tqoD+V11eblsenxI8fz2KaEUWrzJ1R4i4JCHYZl2XN9E+hL6/i6R2X9Om9ykXu1YPzSZGkA==" saltValue="Nxaj2fYuPNjyRUPbLrP4PA==" spinCount="100000" sheet="1" objects="1" scenarios="1"/>
  <mergeCells count="11">
    <mergeCell ref="B13:F13"/>
    <mergeCell ref="B14:F14"/>
    <mergeCell ref="B15:F15"/>
    <mergeCell ref="B16:F16"/>
    <mergeCell ref="B17:F17"/>
    <mergeCell ref="B12:F12"/>
    <mergeCell ref="B3:H4"/>
    <mergeCell ref="B8:H8"/>
    <mergeCell ref="B9:H9"/>
    <mergeCell ref="B10:F10"/>
    <mergeCell ref="B11:F1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2.42578125" style="2" customWidth="1"/>
    <col min="3" max="3" width="8.28515625" style="2" customWidth="1"/>
    <col min="4" max="4" width="8.42578125" style="2" customWidth="1"/>
    <col min="5" max="5" width="2.5703125" style="2" customWidth="1"/>
    <col min="6" max="6" width="8.42578125" style="2" customWidth="1"/>
    <col min="7" max="7" width="2.5703125" style="2" customWidth="1"/>
    <col min="8" max="8" width="8.42578125" style="2" customWidth="1"/>
    <col min="9" max="9" width="2.5703125" style="2" customWidth="1"/>
    <col min="10" max="10" width="8.42578125" style="2" customWidth="1"/>
    <col min="11" max="11" width="2.5703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1" t="s">
        <v>182</v>
      </c>
      <c r="C3" s="111"/>
      <c r="D3" s="111"/>
      <c r="E3" s="111"/>
      <c r="F3" s="111"/>
      <c r="G3" s="111"/>
      <c r="H3" s="111"/>
      <c r="I3" s="111"/>
      <c r="J3" s="111"/>
      <c r="K3" s="111"/>
      <c r="L3" s="1"/>
    </row>
    <row r="4" spans="1:12" ht="15" customHeight="1" x14ac:dyDescent="0.25">
      <c r="A4" s="1"/>
      <c r="B4" s="111"/>
      <c r="C4" s="111"/>
      <c r="D4" s="111"/>
      <c r="E4" s="111"/>
      <c r="F4" s="111"/>
      <c r="G4" s="111"/>
      <c r="H4" s="111"/>
      <c r="I4" s="111"/>
      <c r="J4" s="111"/>
      <c r="K4" s="11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5" t="s">
        <v>163</v>
      </c>
      <c r="C8" s="116"/>
      <c r="D8" s="116"/>
      <c r="E8" s="116"/>
      <c r="F8" s="116"/>
      <c r="G8" s="116"/>
      <c r="H8" s="116"/>
      <c r="I8" s="116"/>
      <c r="J8" s="116"/>
      <c r="K8" s="117"/>
      <c r="L8" s="1"/>
    </row>
    <row r="9" spans="1:12" ht="39.75" customHeight="1" x14ac:dyDescent="0.25">
      <c r="A9" s="1"/>
      <c r="B9" s="19" t="s">
        <v>0</v>
      </c>
      <c r="C9" s="19" t="s">
        <v>1</v>
      </c>
      <c r="D9" s="149" t="s">
        <v>175</v>
      </c>
      <c r="E9" s="150"/>
      <c r="F9" s="149" t="s">
        <v>2</v>
      </c>
      <c r="G9" s="150"/>
      <c r="H9" s="149" t="s">
        <v>176</v>
      </c>
      <c r="I9" s="150"/>
      <c r="J9" s="149" t="s">
        <v>26</v>
      </c>
      <c r="K9" s="150"/>
      <c r="L9" s="1"/>
    </row>
    <row r="10" spans="1:12" x14ac:dyDescent="0.25">
      <c r="A10" s="1"/>
      <c r="B10" s="87" t="s">
        <v>248</v>
      </c>
      <c r="C10" s="35">
        <v>0</v>
      </c>
      <c r="D10" s="9">
        <v>0</v>
      </c>
      <c r="E10" s="14" t="s">
        <v>3</v>
      </c>
      <c r="F10" s="9">
        <f t="shared" ref="F10" si="0">IFERROR(D10/C10,0)</f>
        <v>0</v>
      </c>
      <c r="G10" s="14" t="s">
        <v>3</v>
      </c>
      <c r="H10" s="9">
        <v>0</v>
      </c>
      <c r="I10" s="14" t="s">
        <v>3</v>
      </c>
      <c r="J10" s="9">
        <v>0</v>
      </c>
      <c r="K10" s="14" t="s">
        <v>3</v>
      </c>
      <c r="L10" s="1"/>
    </row>
    <row r="11" spans="1:12" x14ac:dyDescent="0.25">
      <c r="A11" s="1"/>
      <c r="B11" s="115" t="s">
        <v>223</v>
      </c>
      <c r="C11" s="116"/>
      <c r="D11" s="116"/>
      <c r="E11" s="117"/>
      <c r="F11" s="12">
        <f>SUM(F10:F10)</f>
        <v>0</v>
      </c>
      <c r="G11" s="77" t="s">
        <v>3</v>
      </c>
      <c r="H11" s="12">
        <f>SUM(H10:H10)</f>
        <v>0</v>
      </c>
      <c r="I11" s="77"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37"/>
      <c r="B43" s="37"/>
      <c r="C43" s="37"/>
      <c r="D43" s="37"/>
      <c r="E43" s="37"/>
      <c r="F43" s="37"/>
      <c r="G43" s="37"/>
      <c r="H43" s="37"/>
      <c r="I43" s="37"/>
      <c r="J43" s="37"/>
      <c r="K43" s="37"/>
      <c r="L43" s="37"/>
    </row>
    <row r="44" spans="1:12" x14ac:dyDescent="0.25">
      <c r="A44" s="37"/>
      <c r="B44" s="37"/>
      <c r="C44" s="37"/>
      <c r="D44" s="37"/>
      <c r="E44" s="37"/>
      <c r="F44" s="37"/>
      <c r="G44" s="37"/>
      <c r="H44" s="37"/>
      <c r="I44" s="37"/>
      <c r="J44" s="37"/>
      <c r="K44" s="37"/>
      <c r="L44" s="37"/>
    </row>
    <row r="45" spans="1:12" x14ac:dyDescent="0.25">
      <c r="A45" s="37"/>
      <c r="B45" s="37"/>
      <c r="C45" s="37"/>
      <c r="D45" s="37"/>
      <c r="E45" s="37"/>
      <c r="F45" s="37"/>
      <c r="G45" s="37"/>
      <c r="H45" s="37"/>
      <c r="I45" s="37"/>
      <c r="J45" s="37"/>
      <c r="K45" s="37"/>
      <c r="L45" s="37"/>
    </row>
    <row r="46" spans="1:12" x14ac:dyDescent="0.25">
      <c r="A46" s="37"/>
      <c r="B46" s="37"/>
      <c r="C46" s="37"/>
      <c r="D46" s="37"/>
      <c r="E46" s="37"/>
      <c r="F46" s="37"/>
      <c r="G46" s="37"/>
      <c r="H46" s="37"/>
      <c r="I46" s="37"/>
      <c r="J46" s="37"/>
      <c r="K46" s="37"/>
      <c r="L46" s="37"/>
    </row>
  </sheetData>
  <sheetProtection algorithmName="SHA-512" hashValue="c4zxsmXodnOzb2FoFeJQTCHKjgRDaOLLVxo9cxgVoGQMiHqJRyxnj6NhwSePalNegWVA4e12/wXZdgCvXnCtkA==" saltValue="wKe3GT7hUWSsZXadMlnDYA=="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5"/>
  <dimension ref="A1:G54"/>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183</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2" t="s">
        <v>72</v>
      </c>
      <c r="C8" s="63"/>
      <c r="D8" s="63"/>
      <c r="E8" s="63"/>
      <c r="F8" s="20"/>
      <c r="G8" s="1"/>
    </row>
    <row r="9" spans="1:7" ht="17.25" customHeight="1" x14ac:dyDescent="0.25">
      <c r="A9" s="1"/>
      <c r="B9" s="88" t="s">
        <v>15</v>
      </c>
      <c r="C9" s="88" t="s">
        <v>10</v>
      </c>
      <c r="D9" s="89"/>
      <c r="E9" s="88" t="s">
        <v>27</v>
      </c>
      <c r="F9" s="32"/>
      <c r="G9" s="1"/>
    </row>
    <row r="10" spans="1:7" ht="17.25" customHeight="1" x14ac:dyDescent="0.25">
      <c r="A10" s="1"/>
      <c r="B10" s="24" t="s">
        <v>126</v>
      </c>
      <c r="C10" s="22">
        <f>'Fane 9. Anlægsprojekter (§ 19) '!H11</f>
        <v>0</v>
      </c>
      <c r="D10" s="14" t="s">
        <v>3</v>
      </c>
      <c r="E10" s="9">
        <f>SUM('Fane 9. Anlægsprojekter (§ 19) '!F11,'Fane 9. Anlægsprojekter (§ 19) '!J11)</f>
        <v>0</v>
      </c>
      <c r="F10" s="14" t="s">
        <v>3</v>
      </c>
      <c r="G10" s="1"/>
    </row>
    <row r="11" spans="1:7" ht="17.25" customHeight="1" x14ac:dyDescent="0.25">
      <c r="A11" s="1"/>
      <c r="B11" s="24" t="s">
        <v>253</v>
      </c>
      <c r="C11" s="22">
        <v>0</v>
      </c>
      <c r="D11" s="14" t="s">
        <v>3</v>
      </c>
      <c r="E11" s="9">
        <v>1221.06</v>
      </c>
      <c r="F11" s="14" t="s">
        <v>3</v>
      </c>
      <c r="G11" s="1"/>
    </row>
    <row r="12" spans="1:7" x14ac:dyDescent="0.25">
      <c r="A12" s="1"/>
      <c r="B12" s="24" t="s">
        <v>254</v>
      </c>
      <c r="C12" s="22">
        <v>638318</v>
      </c>
      <c r="D12" s="14" t="s">
        <v>3</v>
      </c>
      <c r="E12" s="9">
        <v>174682</v>
      </c>
      <c r="F12" s="14" t="s">
        <v>3</v>
      </c>
      <c r="G12" s="1"/>
    </row>
    <row r="13" spans="1:7" x14ac:dyDescent="0.25">
      <c r="A13" s="1"/>
      <c r="B13" s="24"/>
      <c r="C13" s="22"/>
      <c r="D13" s="14" t="s">
        <v>3</v>
      </c>
      <c r="E13" s="9"/>
      <c r="F13" s="14" t="s">
        <v>3</v>
      </c>
      <c r="G13" s="1"/>
    </row>
    <row r="14" spans="1:7" x14ac:dyDescent="0.25">
      <c r="A14" s="1"/>
      <c r="B14" s="24"/>
      <c r="C14" s="22"/>
      <c r="D14" s="14" t="s">
        <v>3</v>
      </c>
      <c r="E14" s="9"/>
      <c r="F14" s="14" t="s">
        <v>3</v>
      </c>
      <c r="G14" s="1"/>
    </row>
    <row r="15" spans="1:7" x14ac:dyDescent="0.25">
      <c r="A15" s="1"/>
      <c r="B15" s="24"/>
      <c r="C15" s="22"/>
      <c r="D15" s="14" t="s">
        <v>3</v>
      </c>
      <c r="E15" s="9"/>
      <c r="F15" s="14" t="s">
        <v>3</v>
      </c>
      <c r="G15" s="1"/>
    </row>
    <row r="16" spans="1:7" x14ac:dyDescent="0.25">
      <c r="A16" s="1"/>
      <c r="B16" s="24"/>
      <c r="C16" s="22"/>
      <c r="D16" s="14" t="s">
        <v>3</v>
      </c>
      <c r="E16" s="9"/>
      <c r="F16" s="14" t="s">
        <v>3</v>
      </c>
      <c r="G16" s="1"/>
    </row>
    <row r="17" spans="1:7" x14ac:dyDescent="0.25">
      <c r="A17" s="1"/>
      <c r="B17" s="62" t="s">
        <v>158</v>
      </c>
      <c r="C17" s="12">
        <f>SUM(C10:C16)</f>
        <v>638318</v>
      </c>
      <c r="D17" s="13" t="s">
        <v>3</v>
      </c>
      <c r="E17" s="12">
        <f>SUM(E10:E16)</f>
        <v>175903.06</v>
      </c>
      <c r="F17" s="13" t="s">
        <v>3</v>
      </c>
      <c r="G17" s="1"/>
    </row>
    <row r="18" spans="1:7" x14ac:dyDescent="0.25">
      <c r="A18" s="1"/>
      <c r="B18" s="62" t="s">
        <v>224</v>
      </c>
      <c r="C18" s="12">
        <f>C17*(1+'Fane 13. Nøgletal'!C16)</f>
        <v>689894.09439999994</v>
      </c>
      <c r="D18" s="13" t="s">
        <v>3</v>
      </c>
      <c r="E18" s="12">
        <f>E17*(1+'Fane 13. Nøgletal'!C16)</f>
        <v>190116.027248</v>
      </c>
      <c r="F18" s="13"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7"/>
      <c r="B51" s="37"/>
      <c r="C51" s="37"/>
      <c r="D51" s="37"/>
      <c r="E51" s="37"/>
      <c r="F51" s="37"/>
      <c r="G51" s="37"/>
    </row>
    <row r="52" spans="1:7" x14ac:dyDescent="0.25">
      <c r="A52" s="37"/>
      <c r="B52" s="37"/>
      <c r="C52" s="37"/>
      <c r="D52" s="37"/>
      <c r="E52" s="37"/>
      <c r="F52" s="37"/>
      <c r="G52" s="37"/>
    </row>
    <row r="53" spans="1:7" x14ac:dyDescent="0.25">
      <c r="A53" s="37"/>
      <c r="B53" s="37"/>
      <c r="C53" s="37"/>
      <c r="D53" s="37"/>
      <c r="E53" s="37"/>
      <c r="F53" s="37"/>
      <c r="G53" s="37"/>
    </row>
    <row r="54" spans="1:7" x14ac:dyDescent="0.25">
      <c r="A54" s="37"/>
      <c r="B54" s="37"/>
      <c r="C54" s="37"/>
      <c r="D54" s="37"/>
      <c r="E54" s="37"/>
      <c r="F54" s="37"/>
      <c r="G54" s="37"/>
    </row>
  </sheetData>
  <sheetProtection algorithmName="SHA-512" hashValue="gnK5IcN5+g+g+VFDt+idxquu9lKi1UrdgGb3bRLfSG6+fy3aoE1/6rACPnsCT7WHwTVLJYk4tb78Lz3jiMjBIQ==" saltValue="KbgiIGRdoro9B5EqK46DOQ==" spinCount="100000" sheet="1" objects="1" scenarios="1"/>
  <mergeCells count="1">
    <mergeCell ref="B3:F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184</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5" t="s">
        <v>225</v>
      </c>
      <c r="C9" s="116"/>
      <c r="D9" s="116"/>
      <c r="E9" s="116"/>
      <c r="F9" s="117"/>
      <c r="G9" s="1"/>
    </row>
    <row r="10" spans="1:7" x14ac:dyDescent="0.25">
      <c r="A10" s="1"/>
      <c r="B10" s="88" t="s">
        <v>15</v>
      </c>
      <c r="C10" s="88" t="s">
        <v>10</v>
      </c>
      <c r="D10" s="89"/>
      <c r="E10" s="88" t="s">
        <v>27</v>
      </c>
      <c r="F10" s="32"/>
      <c r="G10" s="1"/>
    </row>
    <row r="11" spans="1:7" x14ac:dyDescent="0.25">
      <c r="A11" s="1"/>
      <c r="B11" s="24" t="s">
        <v>255</v>
      </c>
      <c r="C11" s="22"/>
      <c r="D11" s="14" t="s">
        <v>3</v>
      </c>
      <c r="E11" s="22"/>
      <c r="F11" s="14" t="s">
        <v>3</v>
      </c>
      <c r="G11" s="1"/>
    </row>
    <row r="12" spans="1:7" x14ac:dyDescent="0.25">
      <c r="A12" s="1"/>
      <c r="B12" s="24"/>
      <c r="C12" s="22"/>
      <c r="D12" s="14" t="s">
        <v>3</v>
      </c>
      <c r="E12" s="9"/>
      <c r="F12" s="14" t="s">
        <v>3</v>
      </c>
      <c r="G12" s="1"/>
    </row>
    <row r="13" spans="1:7" x14ac:dyDescent="0.25">
      <c r="A13" s="1"/>
      <c r="B13" s="62" t="s">
        <v>226</v>
      </c>
      <c r="C13" s="12">
        <f>SUM(C11:C12)</f>
        <v>0</v>
      </c>
      <c r="D13" s="13" t="s">
        <v>3</v>
      </c>
      <c r="E13" s="12">
        <f>SUM(E11:E12)</f>
        <v>0</v>
      </c>
      <c r="F13" s="13" t="s">
        <v>3</v>
      </c>
      <c r="G13" s="1"/>
    </row>
    <row r="14" spans="1:7" x14ac:dyDescent="0.25">
      <c r="A14" s="1"/>
      <c r="B14" s="62" t="s">
        <v>227</v>
      </c>
      <c r="C14" s="12">
        <f>C13*(1+'Fane 13. Nøgletal'!C16)^2</f>
        <v>0</v>
      </c>
      <c r="D14" s="13" t="s">
        <v>3</v>
      </c>
      <c r="E14" s="12">
        <f>E13*(1+'Fane 13. Nøgletal'!C16)^2</f>
        <v>0</v>
      </c>
      <c r="F14" s="13" t="s">
        <v>3</v>
      </c>
      <c r="G14" s="1"/>
    </row>
    <row r="15" spans="1:7" x14ac:dyDescent="0.25">
      <c r="A15" s="1"/>
      <c r="B15" s="1"/>
      <c r="C15" s="1"/>
      <c r="D15" s="1"/>
      <c r="E15" s="1"/>
      <c r="F15" s="1"/>
      <c r="G15" s="1"/>
    </row>
    <row r="16" spans="1:7" x14ac:dyDescent="0.25">
      <c r="A16" s="1"/>
      <c r="B16" s="151"/>
      <c r="C16" s="151"/>
      <c r="D16" s="151"/>
      <c r="E16" s="151"/>
      <c r="F16" s="151"/>
      <c r="G16" s="1"/>
    </row>
    <row r="17" spans="1:7" x14ac:dyDescent="0.25">
      <c r="A17" s="1"/>
      <c r="B17" s="39"/>
      <c r="C17" s="39"/>
      <c r="D17" s="39"/>
      <c r="E17" s="39"/>
      <c r="F17" s="40"/>
      <c r="G17" s="1"/>
    </row>
    <row r="18" spans="1:7" x14ac:dyDescent="0.25">
      <c r="A18" s="1"/>
      <c r="B18" s="41"/>
      <c r="C18" s="42"/>
      <c r="D18" s="43"/>
      <c r="E18" s="42"/>
      <c r="F18" s="43"/>
      <c r="G18" s="1"/>
    </row>
    <row r="19" spans="1:7" x14ac:dyDescent="0.25">
      <c r="A19" s="1"/>
      <c r="B19" s="41"/>
      <c r="C19" s="42"/>
      <c r="D19" s="43"/>
      <c r="E19" s="44"/>
      <c r="F19" s="43"/>
      <c r="G19" s="1"/>
    </row>
    <row r="20" spans="1:7" x14ac:dyDescent="0.25">
      <c r="A20" s="1"/>
      <c r="B20" s="45"/>
      <c r="C20" s="46"/>
      <c r="D20" s="47"/>
      <c r="E20" s="46"/>
      <c r="F20" s="47"/>
      <c r="G20" s="1"/>
    </row>
    <row r="21" spans="1:7" x14ac:dyDescent="0.25">
      <c r="A21" s="1"/>
      <c r="B21" s="45"/>
      <c r="C21" s="46"/>
      <c r="D21" s="47"/>
      <c r="E21" s="46"/>
      <c r="F21" s="47"/>
      <c r="G21" s="1"/>
    </row>
    <row r="22" spans="1:7" x14ac:dyDescent="0.25">
      <c r="A22" s="1"/>
      <c r="B22" s="38"/>
      <c r="C22" s="38"/>
      <c r="D22" s="38"/>
      <c r="E22" s="38"/>
      <c r="F22" s="38"/>
      <c r="G22" s="1"/>
    </row>
    <row r="23" spans="1:7" x14ac:dyDescent="0.25">
      <c r="A23" s="1"/>
      <c r="B23" s="151"/>
      <c r="C23" s="151"/>
      <c r="D23" s="151"/>
      <c r="E23" s="151"/>
      <c r="F23" s="151"/>
      <c r="G23" s="1"/>
    </row>
    <row r="24" spans="1:7" x14ac:dyDescent="0.25">
      <c r="A24" s="1"/>
      <c r="B24" s="39"/>
      <c r="C24" s="39"/>
      <c r="D24" s="39"/>
      <c r="E24" s="39"/>
      <c r="F24" s="40"/>
      <c r="G24" s="1"/>
    </row>
    <row r="25" spans="1:7" x14ac:dyDescent="0.25">
      <c r="A25" s="1"/>
      <c r="B25" s="41"/>
      <c r="C25" s="42"/>
      <c r="D25" s="43"/>
      <c r="E25" s="42"/>
      <c r="F25" s="43"/>
      <c r="G25" s="1"/>
    </row>
    <row r="26" spans="1:7" x14ac:dyDescent="0.25">
      <c r="A26" s="1"/>
      <c r="B26" s="41"/>
      <c r="C26" s="42"/>
      <c r="D26" s="43"/>
      <c r="E26" s="44"/>
      <c r="F26" s="43"/>
      <c r="G26" s="1"/>
    </row>
    <row r="27" spans="1:7" x14ac:dyDescent="0.25">
      <c r="A27" s="1"/>
      <c r="B27" s="45"/>
      <c r="C27" s="46"/>
      <c r="D27" s="47"/>
      <c r="E27" s="46"/>
      <c r="F27" s="47"/>
      <c r="G27" s="1"/>
    </row>
    <row r="28" spans="1:7" x14ac:dyDescent="0.25">
      <c r="A28" s="1"/>
      <c r="B28" s="45"/>
      <c r="C28" s="46"/>
      <c r="D28" s="47"/>
      <c r="E28" s="46"/>
      <c r="F28" s="47"/>
      <c r="G28" s="1"/>
    </row>
    <row r="29" spans="1:7" x14ac:dyDescent="0.25">
      <c r="A29" s="1"/>
      <c r="B29" s="38"/>
      <c r="C29" s="38"/>
      <c r="D29" s="38"/>
      <c r="E29" s="38"/>
      <c r="F29" s="38"/>
      <c r="G29" s="1"/>
    </row>
    <row r="30" spans="1:7" x14ac:dyDescent="0.25">
      <c r="A30" s="1"/>
      <c r="B30" s="151"/>
      <c r="C30" s="151"/>
      <c r="D30" s="151"/>
      <c r="E30" s="151"/>
      <c r="F30" s="151"/>
      <c r="G30" s="1"/>
    </row>
    <row r="31" spans="1:7" x14ac:dyDescent="0.25">
      <c r="A31" s="1"/>
      <c r="B31" s="39"/>
      <c r="C31" s="39"/>
      <c r="D31" s="39"/>
      <c r="E31" s="39"/>
      <c r="F31" s="40"/>
      <c r="G31" s="1"/>
    </row>
    <row r="32" spans="1:7" x14ac:dyDescent="0.25">
      <c r="A32" s="1"/>
      <c r="B32" s="41"/>
      <c r="C32" s="42"/>
      <c r="D32" s="43"/>
      <c r="E32" s="42"/>
      <c r="F32" s="43"/>
      <c r="G32" s="1"/>
    </row>
    <row r="33" spans="1:7" x14ac:dyDescent="0.25">
      <c r="A33" s="1"/>
      <c r="B33" s="41"/>
      <c r="C33" s="42"/>
      <c r="D33" s="43"/>
      <c r="E33" s="44"/>
      <c r="F33" s="43"/>
      <c r="G33" s="1"/>
    </row>
    <row r="34" spans="1:7" x14ac:dyDescent="0.25">
      <c r="A34" s="1"/>
      <c r="B34" s="45"/>
      <c r="C34" s="46"/>
      <c r="D34" s="47"/>
      <c r="E34" s="46"/>
      <c r="F34" s="47"/>
      <c r="G34" s="1"/>
    </row>
    <row r="35" spans="1:7" x14ac:dyDescent="0.25">
      <c r="A35" s="1"/>
      <c r="B35" s="45"/>
      <c r="C35" s="46"/>
      <c r="D35" s="47"/>
      <c r="E35" s="46"/>
      <c r="F35" s="47"/>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mvLMGeST8hoRmU0nGLgUDv55rG8hQcYBe83lBc6gkX80B+4TLwNuIk/8hQzfcxaXXO4ZPvBE88FYB1Ov8eUASw==" saltValue="L6lyY9B+THyNZlZ8F91Fog==" spinCount="100000" sheet="1" objects="1" scenarios="1"/>
  <mergeCells count="5">
    <mergeCell ref="B30:F30"/>
    <mergeCell ref="B3:F4"/>
    <mergeCell ref="B9:F9"/>
    <mergeCell ref="B16:F16"/>
    <mergeCell ref="B23:F2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7109375" style="2" customWidth="1"/>
    <col min="4" max="4" width="3.28515625" style="2" customWidth="1"/>
    <col min="5" max="5" width="14"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5" t="s">
        <v>116</v>
      </c>
      <c r="C8" s="116"/>
      <c r="D8" s="116"/>
      <c r="E8" s="116"/>
      <c r="F8" s="117"/>
      <c r="G8" s="1"/>
    </row>
    <row r="9" spans="1:7" ht="15" customHeight="1" x14ac:dyDescent="0.25">
      <c r="A9" s="1"/>
      <c r="B9" s="64" t="s">
        <v>117</v>
      </c>
      <c r="C9" s="146" t="s">
        <v>10</v>
      </c>
      <c r="D9" s="148"/>
      <c r="E9" s="146" t="s">
        <v>27</v>
      </c>
      <c r="F9" s="148"/>
      <c r="G9" s="1"/>
    </row>
    <row r="10" spans="1:7" ht="26.25" x14ac:dyDescent="0.25">
      <c r="A10" s="1"/>
      <c r="B10" s="66" t="s">
        <v>251</v>
      </c>
      <c r="C10" s="9">
        <v>0</v>
      </c>
      <c r="D10" s="14" t="s">
        <v>3</v>
      </c>
      <c r="E10" s="9">
        <v>0</v>
      </c>
      <c r="F10" s="14" t="s">
        <v>3</v>
      </c>
      <c r="G10" s="1"/>
    </row>
    <row r="11" spans="1:7" x14ac:dyDescent="0.25">
      <c r="A11" s="1"/>
      <c r="B11" s="24"/>
      <c r="C11" s="9"/>
      <c r="D11" s="14" t="s">
        <v>3</v>
      </c>
      <c r="E11" s="9"/>
      <c r="F11" s="14" t="s">
        <v>166</v>
      </c>
      <c r="G11" s="1"/>
    </row>
    <row r="12" spans="1:7" ht="28.5" customHeight="1" x14ac:dyDescent="0.25">
      <c r="A12" s="1"/>
      <c r="B12" s="21" t="s">
        <v>159</v>
      </c>
      <c r="C12" s="12">
        <f>SUM(C10:C11)</f>
        <v>0</v>
      </c>
      <c r="D12" s="13" t="s">
        <v>3</v>
      </c>
      <c r="E12" s="12">
        <f>SUM(E10:E11)</f>
        <v>0</v>
      </c>
      <c r="F12" s="13" t="s">
        <v>3</v>
      </c>
      <c r="G12" s="1"/>
    </row>
    <row r="13" spans="1:7" ht="27" customHeight="1" x14ac:dyDescent="0.25">
      <c r="A13" s="1"/>
      <c r="B13" s="21" t="s">
        <v>228</v>
      </c>
      <c r="C13" s="12">
        <f>C12*(1+'Fane 13. Nøgletal'!C16)</f>
        <v>0</v>
      </c>
      <c r="D13" s="13" t="s">
        <v>3</v>
      </c>
      <c r="E13" s="12">
        <f>E12*(1+'Fane 13. Nøgletal'!C16)</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nRpEK0/0fJePAlRflanS7UbExSb4P1bnXX3d+0zDd86LHzPgsT1REqoLvBYWI9+MF//drqoOAklSPxdpmU3kBQ==" saltValue="p/yH4K9Gyt4D/q604Vwc7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7.42578125" style="2" customWidth="1"/>
    <col min="4" max="4" width="3" style="2" customWidth="1"/>
    <col min="5" max="5" width="17.42578125" style="2" customWidth="1"/>
    <col min="6" max="6" width="3" style="2" customWidth="1"/>
    <col min="7" max="7" width="3.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5" t="s">
        <v>247</v>
      </c>
      <c r="C9" s="116"/>
      <c r="D9" s="116"/>
      <c r="E9" s="116"/>
      <c r="F9" s="117"/>
      <c r="G9" s="1"/>
    </row>
    <row r="10" spans="1:7" ht="26.25" x14ac:dyDescent="0.25">
      <c r="A10" s="1"/>
      <c r="B10" s="64" t="s">
        <v>16</v>
      </c>
      <c r="C10" s="64" t="s">
        <v>10</v>
      </c>
      <c r="D10" s="32"/>
      <c r="E10" s="64" t="s">
        <v>27</v>
      </c>
      <c r="F10" s="32"/>
      <c r="G10" s="1"/>
    </row>
    <row r="11" spans="1:7" x14ac:dyDescent="0.25">
      <c r="A11" s="1"/>
      <c r="B11" s="66" t="s">
        <v>252</v>
      </c>
      <c r="C11" s="9">
        <v>0</v>
      </c>
      <c r="D11" s="14" t="s">
        <v>3</v>
      </c>
      <c r="E11" s="9">
        <v>0</v>
      </c>
      <c r="F11" s="14" t="s">
        <v>3</v>
      </c>
      <c r="G11" s="1"/>
    </row>
    <row r="12" spans="1:7" x14ac:dyDescent="0.25">
      <c r="A12" s="1"/>
      <c r="B12" s="62" t="s">
        <v>80</v>
      </c>
      <c r="C12" s="12">
        <f>SUM(C11:C11)</f>
        <v>0</v>
      </c>
      <c r="D12" s="13" t="s">
        <v>3</v>
      </c>
      <c r="E12" s="12">
        <f>SUM(E11:E11)</f>
        <v>0</v>
      </c>
      <c r="F12" s="13" t="s">
        <v>3</v>
      </c>
      <c r="G12" s="1"/>
    </row>
    <row r="13" spans="1:7" x14ac:dyDescent="0.25">
      <c r="A13" s="1"/>
      <c r="B13" s="62" t="s">
        <v>244</v>
      </c>
      <c r="C13" s="12">
        <f>C12*(1+'Fane 13. Nøgletal'!C16)</f>
        <v>0</v>
      </c>
      <c r="D13" s="13" t="s">
        <v>3</v>
      </c>
      <c r="E13" s="12">
        <f>E12*(1+'Fane 13. Nøgletal'!C16)</f>
        <v>0</v>
      </c>
      <c r="F13" s="13" t="s">
        <v>3</v>
      </c>
      <c r="G13" s="1"/>
    </row>
    <row r="14" spans="1:7" x14ac:dyDescent="0.25">
      <c r="A14" s="1"/>
      <c r="B14" s="1"/>
      <c r="C14" s="1"/>
      <c r="D14" s="1"/>
      <c r="E14" s="1"/>
      <c r="F14" s="1"/>
      <c r="G14" s="1"/>
    </row>
    <row r="15" spans="1:7" x14ac:dyDescent="0.25">
      <c r="A15" s="1"/>
      <c r="B15" s="151"/>
      <c r="C15" s="151"/>
      <c r="D15" s="151"/>
      <c r="E15" s="151"/>
      <c r="F15" s="151"/>
      <c r="G15" s="1"/>
    </row>
    <row r="16" spans="1:7" x14ac:dyDescent="0.25">
      <c r="A16" s="1"/>
      <c r="B16" s="40"/>
      <c r="C16" s="40"/>
      <c r="D16" s="40"/>
      <c r="E16" s="40"/>
      <c r="F16" s="40"/>
      <c r="G16" s="1"/>
    </row>
    <row r="17" spans="1:7" x14ac:dyDescent="0.25">
      <c r="A17" s="1"/>
      <c r="B17" s="41"/>
      <c r="C17" s="44"/>
      <c r="D17" s="43"/>
      <c r="E17" s="44"/>
      <c r="F17" s="43"/>
      <c r="G17" s="1"/>
    </row>
    <row r="18" spans="1:7" x14ac:dyDescent="0.25">
      <c r="A18" s="1"/>
      <c r="B18" s="45"/>
      <c r="C18" s="46"/>
      <c r="D18" s="47"/>
      <c r="E18" s="46"/>
      <c r="F18" s="47"/>
      <c r="G18" s="1"/>
    </row>
    <row r="19" spans="1:7" x14ac:dyDescent="0.25">
      <c r="A19" s="1"/>
      <c r="B19" s="45"/>
      <c r="C19" s="46"/>
      <c r="D19" s="47"/>
      <c r="E19" s="46"/>
      <c r="F19" s="47"/>
      <c r="G19" s="1"/>
    </row>
    <row r="20" spans="1:7" x14ac:dyDescent="0.25">
      <c r="A20" s="1"/>
      <c r="B20" s="38"/>
      <c r="C20" s="38"/>
      <c r="D20" s="38"/>
      <c r="E20" s="38"/>
      <c r="F20" s="38"/>
      <c r="G20" s="1"/>
    </row>
    <row r="21" spans="1:7" x14ac:dyDescent="0.25">
      <c r="A21" s="1"/>
      <c r="B21" s="151"/>
      <c r="C21" s="151"/>
      <c r="D21" s="151"/>
      <c r="E21" s="151"/>
      <c r="F21" s="151"/>
      <c r="G21" s="1"/>
    </row>
    <row r="22" spans="1:7" x14ac:dyDescent="0.25">
      <c r="A22" s="1"/>
      <c r="B22" s="40"/>
      <c r="C22" s="40"/>
      <c r="D22" s="40"/>
      <c r="E22" s="40"/>
      <c r="F22" s="40"/>
      <c r="G22" s="1"/>
    </row>
    <row r="23" spans="1:7" x14ac:dyDescent="0.25">
      <c r="A23" s="1"/>
      <c r="B23" s="41"/>
      <c r="C23" s="44"/>
      <c r="D23" s="43"/>
      <c r="E23" s="44"/>
      <c r="F23" s="43"/>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8"/>
      <c r="C26" s="38"/>
      <c r="D26" s="38"/>
      <c r="E26" s="38"/>
      <c r="F26" s="38"/>
      <c r="G26" s="1"/>
    </row>
    <row r="27" spans="1:7" x14ac:dyDescent="0.25">
      <c r="A27" s="1"/>
      <c r="B27" s="151"/>
      <c r="C27" s="151"/>
      <c r="D27" s="151"/>
      <c r="E27" s="151"/>
      <c r="F27" s="151"/>
      <c r="G27" s="1"/>
    </row>
    <row r="28" spans="1:7" x14ac:dyDescent="0.25">
      <c r="A28" s="1"/>
      <c r="B28" s="40"/>
      <c r="C28" s="40"/>
      <c r="D28" s="40"/>
      <c r="E28" s="40"/>
      <c r="F28" s="40"/>
      <c r="G28" s="1"/>
    </row>
    <row r="29" spans="1:7" x14ac:dyDescent="0.25">
      <c r="A29" s="1"/>
      <c r="B29" s="41"/>
      <c r="C29" s="44"/>
      <c r="D29" s="43"/>
      <c r="E29" s="44"/>
      <c r="F29" s="43"/>
      <c r="G29" s="1"/>
    </row>
    <row r="30" spans="1:7" x14ac:dyDescent="0.25">
      <c r="A30" s="1"/>
      <c r="B30" s="45"/>
      <c r="C30" s="46"/>
      <c r="D30" s="47"/>
      <c r="E30" s="46"/>
      <c r="F30" s="47"/>
      <c r="G30" s="1"/>
    </row>
    <row r="31" spans="1:7" x14ac:dyDescent="0.25">
      <c r="A31" s="1"/>
      <c r="B31" s="45"/>
      <c r="C31" s="46"/>
      <c r="D31" s="47"/>
      <c r="E31" s="46"/>
      <c r="F31" s="4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g5jgiqWVyELsD6J1el90WzeAh6HQ8VksaVaIB4VatXI1z2HXjoOxzzC3dzI5NgOgRVs39K48XuCjMJG+ZD7SHg==" saltValue="SztvAaAFe4ZAo6xY+gW41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D53"/>
  <sheetViews>
    <sheetView showGridLines="0" view="pageLayout" zoomScaleNormal="100" workbookViewId="0"/>
  </sheetViews>
  <sheetFormatPr defaultColWidth="9.140625" defaultRowHeight="15" x14ac:dyDescent="0.25"/>
  <cols>
    <col min="1" max="1" width="11.140625" style="2" customWidth="1"/>
    <col min="2" max="2" width="55.71093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187</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2" t="s">
        <v>13</v>
      </c>
      <c r="C8" s="20"/>
      <c r="D8" s="1"/>
    </row>
    <row r="9" spans="1:4" x14ac:dyDescent="0.25">
      <c r="A9" s="1"/>
      <c r="B9" s="82" t="s">
        <v>97</v>
      </c>
      <c r="C9" s="25">
        <v>1.2699999999999999E-2</v>
      </c>
      <c r="D9" s="1"/>
    </row>
    <row r="10" spans="1:4" x14ac:dyDescent="0.25">
      <c r="A10" s="1"/>
      <c r="B10" s="82" t="s">
        <v>21</v>
      </c>
      <c r="C10" s="25">
        <v>1.7500000000000002E-2</v>
      </c>
      <c r="D10" s="1"/>
    </row>
    <row r="11" spans="1:4" x14ac:dyDescent="0.25">
      <c r="A11" s="1"/>
      <c r="B11" s="82" t="s">
        <v>98</v>
      </c>
      <c r="C11" s="25">
        <v>1.6899999999999998E-2</v>
      </c>
      <c r="D11" s="1"/>
    </row>
    <row r="12" spans="1:4" x14ac:dyDescent="0.25">
      <c r="A12" s="1"/>
      <c r="B12" s="26" t="s">
        <v>35</v>
      </c>
      <c r="C12" s="27">
        <v>1.9699999999999999E-2</v>
      </c>
      <c r="D12" s="1"/>
    </row>
    <row r="13" spans="1:4" x14ac:dyDescent="0.25">
      <c r="A13" s="1"/>
      <c r="B13" s="26" t="s">
        <v>118</v>
      </c>
      <c r="C13" s="27">
        <v>1.2200000000000001E-2</v>
      </c>
      <c r="D13" s="1"/>
    </row>
    <row r="14" spans="1:4" x14ac:dyDescent="0.25">
      <c r="A14" s="1"/>
      <c r="B14" s="26" t="s">
        <v>138</v>
      </c>
      <c r="C14" s="27">
        <v>3.3E-3</v>
      </c>
      <c r="D14" s="1"/>
    </row>
    <row r="15" spans="1:4" x14ac:dyDescent="0.25">
      <c r="A15" s="1"/>
      <c r="B15" s="26" t="s">
        <v>160</v>
      </c>
      <c r="C15" s="27">
        <v>3.56E-2</v>
      </c>
      <c r="D15" s="1"/>
    </row>
    <row r="16" spans="1:4" x14ac:dyDescent="0.25">
      <c r="A16" s="1"/>
      <c r="B16" s="51" t="s">
        <v>206</v>
      </c>
      <c r="C16" s="60">
        <v>8.0799999999999997E-2</v>
      </c>
      <c r="D16" s="1"/>
    </row>
    <row r="17" spans="1:4" x14ac:dyDescent="0.25">
      <c r="A17" s="1"/>
      <c r="B17" s="62"/>
      <c r="C17" s="20"/>
      <c r="D17" s="1"/>
    </row>
    <row r="18" spans="1:4" x14ac:dyDescent="0.25">
      <c r="A18" s="1"/>
      <c r="B18" s="1"/>
      <c r="C18" s="1"/>
      <c r="D18" s="1"/>
    </row>
    <row r="19" spans="1:4" x14ac:dyDescent="0.25">
      <c r="A19" s="1"/>
      <c r="B19" s="1"/>
      <c r="C19" s="1"/>
      <c r="D19" s="1"/>
    </row>
    <row r="20" spans="1:4" x14ac:dyDescent="0.25">
      <c r="A20" s="1"/>
      <c r="B20" s="62" t="s">
        <v>83</v>
      </c>
      <c r="C20" s="20"/>
      <c r="D20" s="1"/>
    </row>
    <row r="21" spans="1:4" x14ac:dyDescent="0.25">
      <c r="A21" s="1"/>
      <c r="B21" s="82" t="s">
        <v>99</v>
      </c>
      <c r="C21" s="23">
        <v>9.1000000000000004E-3</v>
      </c>
      <c r="D21" s="1"/>
    </row>
    <row r="22" spans="1:4" x14ac:dyDescent="0.25">
      <c r="A22" s="1"/>
      <c r="B22" s="82" t="s">
        <v>100</v>
      </c>
      <c r="C22" s="23">
        <v>1.77E-2</v>
      </c>
      <c r="D22" s="1"/>
    </row>
    <row r="23" spans="1:4" x14ac:dyDescent="0.25">
      <c r="A23" s="1"/>
      <c r="B23" s="82" t="s">
        <v>102</v>
      </c>
      <c r="C23" s="23">
        <v>8.6999999999999994E-3</v>
      </c>
      <c r="D23" s="1"/>
    </row>
    <row r="24" spans="1:4" x14ac:dyDescent="0.25">
      <c r="A24" s="1"/>
      <c r="B24" s="82" t="s">
        <v>101</v>
      </c>
      <c r="C24" s="28">
        <v>2.8400000000000002E-2</v>
      </c>
      <c r="D24" s="1"/>
    </row>
    <row r="25" spans="1:4" x14ac:dyDescent="0.25">
      <c r="A25" s="1"/>
      <c r="B25" s="82" t="s">
        <v>119</v>
      </c>
      <c r="C25" s="28">
        <v>2.75E-2</v>
      </c>
      <c r="D25" s="1"/>
    </row>
    <row r="26" spans="1:4" x14ac:dyDescent="0.25">
      <c r="A26" s="1"/>
      <c r="B26" s="82" t="s">
        <v>139</v>
      </c>
      <c r="C26" s="28">
        <v>1.4800000000000001E-2</v>
      </c>
      <c r="D26" s="1"/>
    </row>
    <row r="27" spans="1:4" x14ac:dyDescent="0.25">
      <c r="A27" s="1"/>
      <c r="B27" s="26" t="s">
        <v>161</v>
      </c>
      <c r="C27" s="27">
        <v>0</v>
      </c>
      <c r="D27" s="1"/>
    </row>
    <row r="28" spans="1:4" x14ac:dyDescent="0.25">
      <c r="A28" s="1"/>
      <c r="B28" s="51" t="s">
        <v>231</v>
      </c>
      <c r="C28" s="60">
        <v>0</v>
      </c>
      <c r="D28" s="1"/>
    </row>
    <row r="29" spans="1:4" x14ac:dyDescent="0.25">
      <c r="A29" s="1"/>
      <c r="B29" s="62"/>
      <c r="C29" s="20"/>
      <c r="D29" s="1"/>
    </row>
    <row r="30" spans="1:4" x14ac:dyDescent="0.25">
      <c r="A30" s="1"/>
      <c r="B30" s="1"/>
      <c r="C30" s="1"/>
      <c r="D30" s="1"/>
    </row>
    <row r="31" spans="1:4" x14ac:dyDescent="0.25">
      <c r="A31" s="1"/>
      <c r="B31" s="1"/>
      <c r="C31" s="1"/>
      <c r="D31" s="1"/>
    </row>
    <row r="32" spans="1:4" x14ac:dyDescent="0.25">
      <c r="A32" s="1"/>
      <c r="B32" s="62" t="s">
        <v>84</v>
      </c>
      <c r="C32" s="20"/>
      <c r="D32" s="1"/>
    </row>
    <row r="33" spans="1:4" x14ac:dyDescent="0.25">
      <c r="A33" s="1"/>
      <c r="B33" s="82" t="s">
        <v>103</v>
      </c>
      <c r="C33" s="25">
        <v>0.02</v>
      </c>
      <c r="D33" s="1"/>
    </row>
    <row r="34" spans="1:4" x14ac:dyDescent="0.25">
      <c r="A34" s="1"/>
      <c r="B34" s="62"/>
      <c r="C34" s="20"/>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7"/>
      <c r="B50" s="37"/>
      <c r="C50" s="37"/>
      <c r="D50" s="37"/>
    </row>
    <row r="51" spans="1:4" x14ac:dyDescent="0.25">
      <c r="A51" s="37"/>
      <c r="B51" s="37"/>
      <c r="C51" s="37"/>
      <c r="D51" s="37"/>
    </row>
    <row r="52" spans="1:4" x14ac:dyDescent="0.25">
      <c r="A52" s="37"/>
      <c r="B52" s="37"/>
      <c r="C52" s="37"/>
      <c r="D52" s="37"/>
    </row>
    <row r="53" spans="1:4" x14ac:dyDescent="0.25">
      <c r="A53" s="37"/>
      <c r="B53" s="37"/>
      <c r="C53" s="37"/>
      <c r="D53" s="37"/>
    </row>
  </sheetData>
  <sheetProtection algorithmName="SHA-512" hashValue="/xbwrFmP6C5zknbfGj0yXJLQBbnEaHO7ZhxurOUKx/mxagdzjOvEm6bDF9UjUgPLrxz3sBcCE/v0XHaRMLX7CA==" saltValue="AqPOiUeYJjn4MpDk9Fz3og==" spinCount="100000" sheet="1" objects="1" scenarios="1"/>
  <mergeCells count="1">
    <mergeCell ref="B3:C4"/>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10.7109375" style="2" customWidth="1"/>
    <col min="2" max="2" width="47.28515625" style="2" customWidth="1"/>
    <col min="3" max="3" width="14.7109375" style="2" customWidth="1"/>
    <col min="4" max="4" width="3.5703125" style="2" customWidth="1"/>
    <col min="5" max="5" width="10.710937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204</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62" t="s">
        <v>12</v>
      </c>
      <c r="C8" s="63"/>
      <c r="D8" s="20"/>
      <c r="E8" s="1"/>
    </row>
    <row r="9" spans="1:5" ht="15" customHeight="1" x14ac:dyDescent="0.25">
      <c r="A9" s="1"/>
      <c r="B9" s="61" t="s">
        <v>130</v>
      </c>
      <c r="C9" s="7">
        <f>'Fane 3. Omkostninger i ØR2023'!C20</f>
        <v>29686964.076825935</v>
      </c>
      <c r="D9" s="8" t="s">
        <v>3</v>
      </c>
      <c r="E9" s="1"/>
    </row>
    <row r="10" spans="1:5" ht="17.100000000000001" customHeight="1" x14ac:dyDescent="0.25">
      <c r="A10" s="1"/>
      <c r="B10" s="65" t="s">
        <v>33</v>
      </c>
      <c r="C10" s="7">
        <f>'Fane 10.1. Varige tillæg'!C18</f>
        <v>689894.09439999994</v>
      </c>
      <c r="D10" s="8" t="s">
        <v>3</v>
      </c>
      <c r="E10" s="1"/>
    </row>
    <row r="11" spans="1:5" ht="17.100000000000001" customHeight="1" x14ac:dyDescent="0.25">
      <c r="A11" s="1"/>
      <c r="B11" s="65" t="s">
        <v>34</v>
      </c>
      <c r="C11" s="9">
        <f>'Fane 10.1. Varige tillæg'!E18</f>
        <v>190116.027248</v>
      </c>
      <c r="D11" s="8" t="s">
        <v>3</v>
      </c>
      <c r="E11" s="1"/>
    </row>
    <row r="12" spans="1:5" ht="17.100000000000001" customHeight="1" x14ac:dyDescent="0.25">
      <c r="A12" s="1"/>
      <c r="B12" s="65" t="s">
        <v>25</v>
      </c>
      <c r="C12" s="9">
        <f>-'Fane 12. Bortfald'!C13</f>
        <v>0</v>
      </c>
      <c r="D12" s="8" t="s">
        <v>3</v>
      </c>
      <c r="E12" s="1"/>
    </row>
    <row r="13" spans="1:5" ht="17.100000000000001" customHeight="1" x14ac:dyDescent="0.25">
      <c r="A13" s="1"/>
      <c r="B13" s="65" t="s">
        <v>24</v>
      </c>
      <c r="C13" s="9">
        <f>-'Fane 12. Bortfald'!E13</f>
        <v>0</v>
      </c>
      <c r="D13" s="8" t="s">
        <v>3</v>
      </c>
      <c r="E13" s="1"/>
    </row>
    <row r="14" spans="1:5" ht="17.100000000000001" customHeight="1" x14ac:dyDescent="0.25">
      <c r="A14" s="1"/>
      <c r="B14" s="65" t="s">
        <v>111</v>
      </c>
      <c r="C14" s="9">
        <f>'Fane 11. Tilknyttet virksomhed'!C13</f>
        <v>0</v>
      </c>
      <c r="D14" s="8" t="s">
        <v>3</v>
      </c>
      <c r="E14" s="1"/>
    </row>
    <row r="15" spans="1:5" ht="17.100000000000001" customHeight="1" x14ac:dyDescent="0.25">
      <c r="A15" s="1"/>
      <c r="B15" s="65" t="s">
        <v>112</v>
      </c>
      <c r="C15" s="9">
        <f>'Fane 11. Tilknyttet virksomhed'!E13</f>
        <v>0</v>
      </c>
      <c r="D15" s="8" t="s">
        <v>3</v>
      </c>
      <c r="E15" s="1"/>
    </row>
    <row r="16" spans="1:5" ht="17.100000000000001" customHeight="1" x14ac:dyDescent="0.25">
      <c r="A16" s="1"/>
      <c r="B16" s="65" t="s">
        <v>17</v>
      </c>
      <c r="C16" s="9">
        <f>C9*'Fane 13. Nøgletal'!C15+SUM(C10:C15)*'Fane 13. Nøgletal'!C16</f>
        <v>1127960.7389641616</v>
      </c>
      <c r="D16" s="8" t="s">
        <v>3</v>
      </c>
      <c r="E16" s="1"/>
    </row>
    <row r="17" spans="1:5" ht="17.100000000000001" customHeight="1" x14ac:dyDescent="0.25">
      <c r="A17" s="1"/>
      <c r="B17" s="65" t="s">
        <v>9</v>
      </c>
      <c r="C17" s="9">
        <f>-SUM(C9,C10:C16)*'Fane 5. Individuelt eff. krav'!G9</f>
        <v>0</v>
      </c>
      <c r="D17" s="8" t="s">
        <v>3</v>
      </c>
      <c r="E17" s="1"/>
    </row>
    <row r="18" spans="1:5" ht="17.100000000000001" customHeight="1" x14ac:dyDescent="0.25">
      <c r="A18" s="1"/>
      <c r="B18" s="65" t="s">
        <v>22</v>
      </c>
      <c r="C18" s="9">
        <f>-'Fane 4.1. Gen. krav - drift'!G56</f>
        <v>-304015.84813865711</v>
      </c>
      <c r="D18" s="8" t="s">
        <v>3</v>
      </c>
      <c r="E18" s="1"/>
    </row>
    <row r="19" spans="1:5" ht="17.100000000000001" customHeight="1" x14ac:dyDescent="0.25">
      <c r="A19" s="1"/>
      <c r="B19" s="65" t="s">
        <v>23</v>
      </c>
      <c r="C19" s="9">
        <f>-'Fane 4.2. Gen. krav - anlæg'!G54</f>
        <v>0</v>
      </c>
      <c r="D19" s="8" t="s">
        <v>3</v>
      </c>
      <c r="E19" s="1"/>
    </row>
    <row r="20" spans="1:5" ht="17.100000000000001" customHeight="1" x14ac:dyDescent="0.25">
      <c r="A20" s="1"/>
      <c r="B20" s="83" t="s">
        <v>19</v>
      </c>
      <c r="C20" s="10">
        <f>SUM(C9,C10:C19)</f>
        <v>31390919.08929944</v>
      </c>
      <c r="D20" s="11" t="s">
        <v>3</v>
      </c>
      <c r="E20" s="1"/>
    </row>
    <row r="21" spans="1:5" ht="15" customHeight="1" x14ac:dyDescent="0.25">
      <c r="A21" s="1"/>
      <c r="B21" s="62" t="s">
        <v>11</v>
      </c>
      <c r="C21" s="63"/>
      <c r="D21" s="20"/>
      <c r="E21" s="1"/>
    </row>
    <row r="22" spans="1:5" ht="15" customHeight="1" x14ac:dyDescent="0.25">
      <c r="A22" s="1"/>
      <c r="B22" s="64" t="s">
        <v>11</v>
      </c>
      <c r="C22" s="10">
        <f>'Fane 6. Ikke-påvirkelige omk.'!C19</f>
        <v>21088482.15809216</v>
      </c>
      <c r="D22" s="11" t="s">
        <v>3</v>
      </c>
      <c r="E22" s="1"/>
    </row>
    <row r="23" spans="1:5" ht="15" customHeight="1" x14ac:dyDescent="0.25">
      <c r="A23" s="1"/>
      <c r="B23" s="62" t="s">
        <v>77</v>
      </c>
      <c r="C23" s="63"/>
      <c r="D23" s="20"/>
      <c r="E23" s="1"/>
    </row>
    <row r="24" spans="1:5" ht="15" customHeight="1" x14ac:dyDescent="0.25">
      <c r="A24" s="1"/>
      <c r="B24" s="65" t="s">
        <v>73</v>
      </c>
      <c r="C24" s="9">
        <f>'Fane 10.2. Engangstillæg'!C14</f>
        <v>0</v>
      </c>
      <c r="D24" s="8" t="s">
        <v>3</v>
      </c>
      <c r="E24" s="1"/>
    </row>
    <row r="25" spans="1:5" ht="15" customHeight="1" x14ac:dyDescent="0.25">
      <c r="A25" s="1"/>
      <c r="B25" s="65" t="s">
        <v>74</v>
      </c>
      <c r="C25" s="9">
        <f>'Fane 10.2. Engangstillæg'!E14</f>
        <v>0</v>
      </c>
      <c r="D25" s="8" t="s">
        <v>3</v>
      </c>
      <c r="E25" s="1"/>
    </row>
    <row r="26" spans="1:5" ht="15" customHeight="1" x14ac:dyDescent="0.25">
      <c r="A26" s="1"/>
      <c r="B26" s="65" t="s">
        <v>170</v>
      </c>
      <c r="C26" s="9">
        <f>-C24*('Fane 5. Individuelt eff. krav'!G9+'Fane 13. Nøgletal'!C33)</f>
        <v>0</v>
      </c>
      <c r="D26" s="8" t="s">
        <v>3</v>
      </c>
      <c r="E26" s="1"/>
    </row>
    <row r="27" spans="1:5" ht="15" customHeight="1" x14ac:dyDescent="0.25">
      <c r="A27" s="1"/>
      <c r="B27" s="36" t="s">
        <v>171</v>
      </c>
      <c r="C27" s="9">
        <f>-C25*('Fane 5. Individuelt eff. krav'!G9+'Fane 13. Nøgletal'!C28)</f>
        <v>0</v>
      </c>
      <c r="D27" s="8" t="s">
        <v>3</v>
      </c>
      <c r="E27" s="1"/>
    </row>
    <row r="28" spans="1:5" x14ac:dyDescent="0.25">
      <c r="A28" s="1"/>
      <c r="B28" s="83" t="s">
        <v>78</v>
      </c>
      <c r="C28" s="10">
        <f>SUM(C24:C27)</f>
        <v>0</v>
      </c>
      <c r="D28" s="11" t="s">
        <v>3</v>
      </c>
      <c r="E28" s="1"/>
    </row>
    <row r="29" spans="1:5" x14ac:dyDescent="0.25">
      <c r="A29" s="1"/>
      <c r="B29" s="29" t="s">
        <v>128</v>
      </c>
      <c r="C29" s="63"/>
      <c r="D29" s="20"/>
      <c r="E29" s="1"/>
    </row>
    <row r="30" spans="1:5" x14ac:dyDescent="0.25">
      <c r="A30" s="1"/>
      <c r="B30" s="86" t="s">
        <v>129</v>
      </c>
      <c r="C30" s="10">
        <f>'Fane 7. Kontrol af ØR2022'!E29</f>
        <v>-4267219</v>
      </c>
      <c r="D30" s="11" t="s">
        <v>3</v>
      </c>
      <c r="E30" s="1"/>
    </row>
    <row r="31" spans="1:5" x14ac:dyDescent="0.25">
      <c r="A31" s="1"/>
      <c r="B31" s="29" t="s">
        <v>140</v>
      </c>
      <c r="C31" s="63"/>
      <c r="D31" s="20"/>
      <c r="E31" s="1"/>
    </row>
    <row r="32" spans="1:5" x14ac:dyDescent="0.25">
      <c r="A32" s="1"/>
      <c r="B32" s="86" t="s">
        <v>141</v>
      </c>
      <c r="C32" s="10">
        <f>'Fane 8. Skattesagen'!G13</f>
        <v>0</v>
      </c>
      <c r="D32" s="11" t="s">
        <v>3</v>
      </c>
      <c r="E32" s="1"/>
    </row>
    <row r="33" spans="1:5" x14ac:dyDescent="0.25">
      <c r="A33" s="1"/>
      <c r="B33" s="62" t="s">
        <v>115</v>
      </c>
      <c r="C33" s="12">
        <f>SUM(C20,C22,C28,C30,C32)</f>
        <v>48212182.247391596</v>
      </c>
      <c r="D33" s="13" t="s">
        <v>3</v>
      </c>
      <c r="E33" s="1" t="s">
        <v>162</v>
      </c>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anJJQ8n2jOQgTGldOCujyXCJgdCn0Q+VS9Uu+pE/ZG0Iq3BIG4RlnNn9Kd07UZ99BI6heXW9F2owtRxbcsc8AA==" saltValue="/R+X8YmZasWg+bpShdzXVg==" spinCount="100000" sheet="1" objects="1" scenarios="1"/>
  <mergeCells count="1">
    <mergeCell ref="B3:D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50.7109375" style="2" customWidth="1"/>
    <col min="3" max="3" width="20.425781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205</v>
      </c>
      <c r="C3" s="111"/>
      <c r="D3" s="111"/>
      <c r="E3" s="1"/>
    </row>
    <row r="4" spans="1:5" ht="15" customHeight="1" x14ac:dyDescent="0.25">
      <c r="A4" s="1"/>
      <c r="B4" s="111"/>
      <c r="C4" s="111"/>
      <c r="D4" s="111"/>
      <c r="E4" s="1"/>
    </row>
    <row r="5" spans="1:5" x14ac:dyDescent="0.25">
      <c r="A5" s="1"/>
      <c r="B5" s="112" t="s">
        <v>20</v>
      </c>
      <c r="C5" s="112"/>
      <c r="D5" s="112"/>
      <c r="E5" s="1"/>
    </row>
    <row r="6" spans="1:5" x14ac:dyDescent="0.25">
      <c r="A6" s="1"/>
      <c r="B6" s="1"/>
      <c r="C6" s="1"/>
      <c r="D6" s="1"/>
      <c r="E6" s="1"/>
    </row>
    <row r="7" spans="1:5" x14ac:dyDescent="0.25">
      <c r="A7" s="1"/>
      <c r="B7" s="1"/>
      <c r="C7" s="1"/>
      <c r="D7" s="1"/>
      <c r="E7" s="1"/>
    </row>
    <row r="8" spans="1:5" x14ac:dyDescent="0.25">
      <c r="A8" s="1"/>
      <c r="B8" s="62" t="s">
        <v>12</v>
      </c>
      <c r="C8" s="63"/>
      <c r="D8" s="20"/>
      <c r="E8" s="1"/>
    </row>
    <row r="9" spans="1:5" ht="15" customHeight="1" x14ac:dyDescent="0.25">
      <c r="A9" s="1"/>
      <c r="B9" s="33" t="s">
        <v>114</v>
      </c>
      <c r="C9" s="7">
        <f>'Fane 2.1. Økonomisk ramme 2024'!C20</f>
        <v>31390919.08929944</v>
      </c>
      <c r="D9" s="8" t="s">
        <v>3</v>
      </c>
      <c r="E9" s="1"/>
    </row>
    <row r="10" spans="1:5" ht="15" customHeight="1" x14ac:dyDescent="0.25">
      <c r="A10" s="1"/>
      <c r="B10" s="61" t="s">
        <v>17</v>
      </c>
      <c r="C10" s="9">
        <f>SUM(C9:C9)*'Fane 13. Nøgletal'!C16</f>
        <v>2536386.2624153947</v>
      </c>
      <c r="D10" s="8" t="s">
        <v>3</v>
      </c>
      <c r="E10" s="1"/>
    </row>
    <row r="11" spans="1:5" ht="15" customHeight="1" x14ac:dyDescent="0.25">
      <c r="A11" s="1"/>
      <c r="B11" s="61" t="s">
        <v>9</v>
      </c>
      <c r="C11" s="9">
        <f>-SUM(C9:C10)*'Fane 5. Individuelt eff. krav'!G9</f>
        <v>0</v>
      </c>
      <c r="D11" s="8" t="s">
        <v>3</v>
      </c>
      <c r="E11" s="1"/>
    </row>
    <row r="12" spans="1:5" ht="15" customHeight="1" x14ac:dyDescent="0.25">
      <c r="A12" s="1"/>
      <c r="B12" s="61" t="s">
        <v>22</v>
      </c>
      <c r="C12" s="9">
        <f>-'Fane 4.1. Gen. krav - drift'!G61</f>
        <v>-322008.72209489538</v>
      </c>
      <c r="D12" s="8" t="s">
        <v>3</v>
      </c>
      <c r="E12" s="1"/>
    </row>
    <row r="13" spans="1:5" x14ac:dyDescent="0.25">
      <c r="A13" s="1"/>
      <c r="B13" s="61" t="s">
        <v>23</v>
      </c>
      <c r="C13" s="9">
        <f>-'Fane 4.2. Gen. krav - anlæg'!G59</f>
        <v>0</v>
      </c>
      <c r="D13" s="8" t="s">
        <v>3</v>
      </c>
      <c r="E13" s="1"/>
    </row>
    <row r="14" spans="1:5" ht="15" customHeight="1" x14ac:dyDescent="0.25">
      <c r="A14" s="1"/>
      <c r="B14" s="34" t="s">
        <v>19</v>
      </c>
      <c r="C14" s="10">
        <f>SUM(C9:C13)</f>
        <v>33605296.629619941</v>
      </c>
      <c r="D14" s="11" t="s">
        <v>3</v>
      </c>
      <c r="E14" s="1"/>
    </row>
    <row r="15" spans="1:5" ht="15" customHeight="1" x14ac:dyDescent="0.25">
      <c r="A15" s="1"/>
      <c r="B15" s="62" t="s">
        <v>11</v>
      </c>
      <c r="C15" s="63"/>
      <c r="D15" s="20"/>
      <c r="E15" s="1"/>
    </row>
    <row r="16" spans="1:5" ht="15" customHeight="1" x14ac:dyDescent="0.25">
      <c r="A16" s="1"/>
      <c r="B16" s="64" t="s">
        <v>11</v>
      </c>
      <c r="C16" s="10">
        <f>'Fane 6. Ikke-påvirkelige omk.'!C19*(1+'Fane 13. Nøgletal'!C16)</f>
        <v>22792431.516466007</v>
      </c>
      <c r="D16" s="11" t="s">
        <v>3</v>
      </c>
      <c r="E16" s="1"/>
    </row>
    <row r="17" spans="1:5" ht="15" customHeight="1" x14ac:dyDescent="0.25">
      <c r="A17" s="1"/>
      <c r="B17" s="29" t="s">
        <v>128</v>
      </c>
      <c r="C17" s="63"/>
      <c r="D17" s="20"/>
      <c r="E17" s="1"/>
    </row>
    <row r="18" spans="1:5" ht="15" customHeight="1" x14ac:dyDescent="0.25">
      <c r="A18" s="1"/>
      <c r="B18" s="86" t="s">
        <v>129</v>
      </c>
      <c r="C18" s="10">
        <f>'Fane 7. Kontrol af ØR2022'!E35</f>
        <v>0</v>
      </c>
      <c r="D18" s="11" t="s">
        <v>3</v>
      </c>
      <c r="E18" s="1"/>
    </row>
    <row r="19" spans="1:5" x14ac:dyDescent="0.25">
      <c r="A19" s="1"/>
      <c r="B19" s="29" t="s">
        <v>140</v>
      </c>
      <c r="C19" s="63"/>
      <c r="D19" s="20"/>
      <c r="E19" s="1"/>
    </row>
    <row r="20" spans="1:5" x14ac:dyDescent="0.25">
      <c r="A20" s="1"/>
      <c r="B20" s="86" t="s">
        <v>141</v>
      </c>
      <c r="C20" s="10">
        <f>'Fane 8. Skattesagen'!G14</f>
        <v>0</v>
      </c>
      <c r="D20" s="11" t="s">
        <v>3</v>
      </c>
      <c r="E20" s="1"/>
    </row>
    <row r="21" spans="1:5" x14ac:dyDescent="0.25">
      <c r="A21" s="1"/>
      <c r="B21" s="62" t="s">
        <v>131</v>
      </c>
      <c r="C21" s="12">
        <f>SUM(C14,C16,C18,C20)</f>
        <v>56397728.146085948</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DtyKTGxPNel3uSc5ZRBHei9HaXDu/0Nectw2iY3UwnF9CfcRaqzXhAX4pw1c8FxTPRPHzh7bsjHdTMVGXlBmw==" saltValue="TrKC4CNHW32WdKzfZX+xT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2.85546875" style="2" customWidth="1"/>
    <col min="3" max="3" width="15.140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209</v>
      </c>
      <c r="C3" s="111"/>
      <c r="D3" s="111"/>
      <c r="E3" s="1"/>
    </row>
    <row r="4" spans="1:5" ht="15" customHeight="1" x14ac:dyDescent="0.25">
      <c r="A4" s="1"/>
      <c r="B4" s="111"/>
      <c r="C4" s="111"/>
      <c r="D4" s="111"/>
      <c r="E4" s="1"/>
    </row>
    <row r="5" spans="1:5" x14ac:dyDescent="0.25">
      <c r="A5" s="1"/>
      <c r="B5" s="112" t="s">
        <v>20</v>
      </c>
      <c r="C5" s="112"/>
      <c r="D5" s="112"/>
      <c r="E5" s="1"/>
    </row>
    <row r="6" spans="1:5" x14ac:dyDescent="0.25">
      <c r="A6" s="1"/>
      <c r="B6" s="1"/>
      <c r="C6" s="1"/>
      <c r="D6" s="1"/>
      <c r="E6" s="1"/>
    </row>
    <row r="7" spans="1:5" x14ac:dyDescent="0.25">
      <c r="A7" s="1"/>
      <c r="B7" s="62" t="s">
        <v>12</v>
      </c>
      <c r="C7" s="63"/>
      <c r="D7" s="20"/>
      <c r="E7" s="1"/>
    </row>
    <row r="8" spans="1:5" ht="15" customHeight="1" x14ac:dyDescent="0.25">
      <c r="A8" s="1"/>
      <c r="B8" s="33" t="s">
        <v>149</v>
      </c>
      <c r="C8" s="7">
        <f>'Fane 2.2. Økonomisk ramme 2025'!C14</f>
        <v>33605296.629619941</v>
      </c>
      <c r="D8" s="8" t="s">
        <v>3</v>
      </c>
      <c r="E8" s="1"/>
    </row>
    <row r="9" spans="1:5" ht="15" customHeight="1" x14ac:dyDescent="0.25">
      <c r="A9" s="1"/>
      <c r="B9" s="61" t="s">
        <v>17</v>
      </c>
      <c r="C9" s="9">
        <f>SUM(C8:C8)*'Fane 13. Nøgletal'!C16</f>
        <v>2715307.967673291</v>
      </c>
      <c r="D9" s="8" t="s">
        <v>3</v>
      </c>
      <c r="E9" s="1"/>
    </row>
    <row r="10" spans="1:5" ht="15" customHeight="1" x14ac:dyDescent="0.25">
      <c r="A10" s="1"/>
      <c r="B10" s="61" t="s">
        <v>9</v>
      </c>
      <c r="C10" s="9">
        <f>-SUM(C8,C9:C9)*'Fane 5. Individuelt eff. krav'!G9</f>
        <v>0</v>
      </c>
      <c r="D10" s="8" t="s">
        <v>3</v>
      </c>
      <c r="E10" s="1"/>
    </row>
    <row r="11" spans="1:5" ht="15" customHeight="1" x14ac:dyDescent="0.25">
      <c r="A11" s="1"/>
      <c r="B11" s="61" t="s">
        <v>22</v>
      </c>
      <c r="C11" s="9">
        <f>-'Fane 4.1. Gen. krav - drift'!G66</f>
        <v>-341066.48630335968</v>
      </c>
      <c r="D11" s="8" t="s">
        <v>3</v>
      </c>
      <c r="E11" s="1"/>
    </row>
    <row r="12" spans="1:5" ht="15" customHeight="1" x14ac:dyDescent="0.25">
      <c r="A12" s="1"/>
      <c r="B12" s="61" t="s">
        <v>23</v>
      </c>
      <c r="C12" s="9">
        <f>-'Fane 4.2. Gen. krav - anlæg'!G64</f>
        <v>0</v>
      </c>
      <c r="D12" s="8" t="s">
        <v>3</v>
      </c>
      <c r="E12" s="1"/>
    </row>
    <row r="13" spans="1:5" ht="17.25" customHeight="1" x14ac:dyDescent="0.25">
      <c r="A13" s="1"/>
      <c r="B13" s="34" t="s">
        <v>19</v>
      </c>
      <c r="C13" s="10">
        <f>SUM(C8,C9:C12)</f>
        <v>35979538.110989876</v>
      </c>
      <c r="D13" s="11" t="s">
        <v>3</v>
      </c>
      <c r="E13" s="1"/>
    </row>
    <row r="14" spans="1:5" x14ac:dyDescent="0.25">
      <c r="A14" s="1"/>
      <c r="B14" s="62" t="s">
        <v>11</v>
      </c>
      <c r="C14" s="63"/>
      <c r="D14" s="20"/>
      <c r="E14" s="1"/>
    </row>
    <row r="15" spans="1:5" ht="15" customHeight="1" x14ac:dyDescent="0.25">
      <c r="A15" s="1"/>
      <c r="B15" s="64" t="s">
        <v>11</v>
      </c>
      <c r="C15" s="10">
        <f>'Fane 6. Ikke-påvirkelige omk.'!C19*(1+'Fane 13. Nøgletal'!C16)^2</f>
        <v>24634059.98299646</v>
      </c>
      <c r="D15" s="11" t="s">
        <v>3</v>
      </c>
      <c r="E15" s="1"/>
    </row>
    <row r="16" spans="1:5" ht="15" customHeight="1" x14ac:dyDescent="0.25">
      <c r="A16" s="1"/>
      <c r="B16" s="29" t="s">
        <v>128</v>
      </c>
      <c r="C16" s="63"/>
      <c r="D16" s="20"/>
      <c r="E16" s="1"/>
    </row>
    <row r="17" spans="1:5" ht="15" customHeight="1" x14ac:dyDescent="0.25">
      <c r="A17" s="1"/>
      <c r="B17" s="86" t="s">
        <v>129</v>
      </c>
      <c r="C17" s="10">
        <f>'Fane 7. Kontrol af ØR2022'!E35</f>
        <v>0</v>
      </c>
      <c r="D17" s="11" t="s">
        <v>3</v>
      </c>
      <c r="E17" s="1"/>
    </row>
    <row r="18" spans="1:5" x14ac:dyDescent="0.25">
      <c r="A18" s="1"/>
      <c r="B18" s="29" t="s">
        <v>140</v>
      </c>
      <c r="C18" s="63"/>
      <c r="D18" s="20"/>
      <c r="E18" s="1"/>
    </row>
    <row r="19" spans="1:5" x14ac:dyDescent="0.25">
      <c r="A19" s="1"/>
      <c r="B19" s="86" t="s">
        <v>141</v>
      </c>
      <c r="C19" s="10">
        <f>'Fane 8. Skattesagen'!G15</f>
        <v>0</v>
      </c>
      <c r="D19" s="11" t="s">
        <v>3</v>
      </c>
      <c r="E19" s="1"/>
    </row>
    <row r="20" spans="1:5" x14ac:dyDescent="0.25">
      <c r="A20" s="1"/>
      <c r="B20" s="62" t="s">
        <v>150</v>
      </c>
      <c r="C20" s="12">
        <f>SUM(C13,C15,C17,C19)</f>
        <v>60613598.093986332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yFaVZfnPbkQmXfRxggPbe/j3Vu184ghoJ5z+Eo7fujcVSCczMZlGmI7B+vQQR1Qv3rnr7yLZK7/iKtP+8r+ZAQ==" saltValue="+IwOigigi5BFFh2JPd/aY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58.140625" style="2" customWidth="1"/>
    <col min="3" max="3" width="10.85546875" style="2" bestFit="1" customWidth="1"/>
    <col min="4" max="4" width="3.28515625" style="2" customWidth="1"/>
    <col min="5"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229</v>
      </c>
      <c r="C3" s="111"/>
      <c r="D3" s="111"/>
      <c r="E3" s="1"/>
    </row>
    <row r="4" spans="1:5" ht="15" customHeight="1" x14ac:dyDescent="0.25">
      <c r="A4" s="1"/>
      <c r="B4" s="111"/>
      <c r="C4" s="111"/>
      <c r="D4" s="111"/>
      <c r="E4" s="1"/>
    </row>
    <row r="5" spans="1:5" x14ac:dyDescent="0.25">
      <c r="A5" s="1"/>
      <c r="B5" s="112" t="s">
        <v>20</v>
      </c>
      <c r="C5" s="112"/>
      <c r="D5" s="112"/>
      <c r="E5" s="1"/>
    </row>
    <row r="6" spans="1:5" x14ac:dyDescent="0.25">
      <c r="A6" s="1"/>
      <c r="B6" s="1"/>
      <c r="C6" s="1"/>
      <c r="D6" s="1"/>
      <c r="E6" s="1"/>
    </row>
    <row r="7" spans="1:5" x14ac:dyDescent="0.25">
      <c r="A7" s="1"/>
      <c r="B7" s="62" t="s">
        <v>12</v>
      </c>
      <c r="C7" s="63"/>
      <c r="D7" s="20"/>
      <c r="E7" s="1"/>
    </row>
    <row r="8" spans="1:5" ht="15" customHeight="1" x14ac:dyDescent="0.25">
      <c r="A8" s="1"/>
      <c r="B8" s="33" t="s">
        <v>210</v>
      </c>
      <c r="C8" s="7">
        <f>'Fane 2.3. Økonomisk ramme 2026'!C13</f>
        <v>35979538.110989876</v>
      </c>
      <c r="D8" s="8" t="s">
        <v>3</v>
      </c>
      <c r="E8" s="1"/>
    </row>
    <row r="9" spans="1:5" ht="15" customHeight="1" x14ac:dyDescent="0.25">
      <c r="A9" s="1"/>
      <c r="B9" s="61" t="s">
        <v>17</v>
      </c>
      <c r="C9" s="9">
        <f>SUM(C8:C8)*'Fane 13. Nøgletal'!C16</f>
        <v>2907146.6793679819</v>
      </c>
      <c r="D9" s="8" t="s">
        <v>3</v>
      </c>
      <c r="E9" s="1"/>
    </row>
    <row r="10" spans="1:5" ht="15" customHeight="1" x14ac:dyDescent="0.25">
      <c r="A10" s="1"/>
      <c r="B10" s="61" t="s">
        <v>9</v>
      </c>
      <c r="C10" s="9">
        <f>-SUM(C8:C9)*'Fane 5. Individuelt eff. krav'!G9</f>
        <v>0</v>
      </c>
      <c r="D10" s="8" t="s">
        <v>3</v>
      </c>
      <c r="E10" s="1"/>
    </row>
    <row r="11" spans="1:5" ht="15" customHeight="1" x14ac:dyDescent="0.25">
      <c r="A11" s="1"/>
      <c r="B11" s="61" t="s">
        <v>22</v>
      </c>
      <c r="C11" s="9">
        <f>-'Fane 4.1. Gen. krav - drift'!G71</f>
        <v>-361252.16522873769</v>
      </c>
      <c r="D11" s="8" t="s">
        <v>3</v>
      </c>
      <c r="E11" s="1"/>
    </row>
    <row r="12" spans="1:5" x14ac:dyDescent="0.25">
      <c r="A12" s="1"/>
      <c r="B12" s="61" t="s">
        <v>23</v>
      </c>
      <c r="C12" s="9">
        <f>-'Fane 4.2. Gen. krav - anlæg'!G69</f>
        <v>0</v>
      </c>
      <c r="D12" s="8" t="s">
        <v>3</v>
      </c>
      <c r="E12" s="1"/>
    </row>
    <row r="13" spans="1:5" ht="16.5" customHeight="1" x14ac:dyDescent="0.25">
      <c r="A13" s="1"/>
      <c r="B13" s="34" t="s">
        <v>19</v>
      </c>
      <c r="C13" s="10">
        <f>SUM(C8:C12)</f>
        <v>38525432.625129119</v>
      </c>
      <c r="D13" s="11" t="s">
        <v>3</v>
      </c>
      <c r="E13" s="1"/>
    </row>
    <row r="14" spans="1:5" x14ac:dyDescent="0.25">
      <c r="A14" s="1"/>
      <c r="B14" s="62" t="s">
        <v>11</v>
      </c>
      <c r="C14" s="63"/>
      <c r="D14" s="20"/>
      <c r="E14" s="1"/>
    </row>
    <row r="15" spans="1:5" ht="15" customHeight="1" x14ac:dyDescent="0.25">
      <c r="A15" s="1"/>
      <c r="B15" s="64" t="s">
        <v>11</v>
      </c>
      <c r="C15" s="10">
        <f>'Fane 6. Ikke-påvirkelige omk.'!C19*(1+'Fane 13. Nøgletal'!C16)^3</f>
        <v>26624492.02962257</v>
      </c>
      <c r="D15" s="11" t="s">
        <v>3</v>
      </c>
      <c r="E15" s="1"/>
    </row>
    <row r="16" spans="1:5" ht="15" customHeight="1" x14ac:dyDescent="0.25">
      <c r="A16" s="1"/>
      <c r="B16" s="29" t="s">
        <v>128</v>
      </c>
      <c r="C16" s="63"/>
      <c r="D16" s="20"/>
      <c r="E16" s="1"/>
    </row>
    <row r="17" spans="1:5" ht="15" customHeight="1" x14ac:dyDescent="0.25">
      <c r="A17" s="1"/>
      <c r="B17" s="86" t="s">
        <v>129</v>
      </c>
      <c r="C17" s="10">
        <v>0</v>
      </c>
      <c r="D17" s="11" t="s">
        <v>3</v>
      </c>
      <c r="E17" s="1"/>
    </row>
    <row r="18" spans="1:5" x14ac:dyDescent="0.25">
      <c r="A18" s="1"/>
      <c r="B18" s="29" t="s">
        <v>140</v>
      </c>
      <c r="C18" s="63"/>
      <c r="D18" s="20"/>
      <c r="E18" s="1"/>
    </row>
    <row r="19" spans="1:5" x14ac:dyDescent="0.25">
      <c r="A19" s="1"/>
      <c r="B19" s="86" t="s">
        <v>141</v>
      </c>
      <c r="C19" s="10">
        <f>'Fane 8. Skattesagen'!G16</f>
        <v>0</v>
      </c>
      <c r="D19" s="11" t="s">
        <v>3</v>
      </c>
      <c r="E19" s="1"/>
    </row>
    <row r="20" spans="1:5" x14ac:dyDescent="0.25">
      <c r="A20" s="1"/>
      <c r="B20" s="62" t="s">
        <v>211</v>
      </c>
      <c r="C20" s="12">
        <f>SUM(C13,C15,C17,C19)</f>
        <v>65149924.654751688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W3RjcTGZl2JvX5VZZUHS3gQtMNjaBM3+nMlUv8FwNqNHcQZWBSegJSCs2ziWDtYzgUIRPXU52YW3VEOnTeXFQQ==" saltValue="g9q7wktoT6Rw+j6zZNStx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Normal="100" workbookViewId="0"/>
  </sheetViews>
  <sheetFormatPr defaultColWidth="9.140625" defaultRowHeight="15" x14ac:dyDescent="0.25"/>
  <cols>
    <col min="1" max="1" width="10.7109375" style="2" customWidth="1"/>
    <col min="2" max="2" width="47.28515625" style="2" customWidth="1"/>
    <col min="3" max="3" width="14.7109375" style="2" customWidth="1"/>
    <col min="4" max="4" width="3.5703125" style="2" customWidth="1"/>
    <col min="5" max="5" width="10.710937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207</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62" t="s">
        <v>208</v>
      </c>
      <c r="C8" s="63"/>
      <c r="D8" s="20"/>
      <c r="E8" s="1"/>
    </row>
    <row r="9" spans="1:5" ht="26.25" x14ac:dyDescent="0.25">
      <c r="A9" s="1"/>
      <c r="B9" s="61" t="s">
        <v>113</v>
      </c>
      <c r="C9" s="7">
        <v>28120867.938995693</v>
      </c>
      <c r="D9" s="8" t="s">
        <v>3</v>
      </c>
      <c r="E9" s="1"/>
    </row>
    <row r="10" spans="1:5" x14ac:dyDescent="0.25">
      <c r="A10" s="1"/>
      <c r="B10" s="65" t="s">
        <v>33</v>
      </c>
      <c r="C10" s="7">
        <v>707930.98200000008</v>
      </c>
      <c r="D10" s="8" t="s">
        <v>3</v>
      </c>
      <c r="E10" s="1"/>
    </row>
    <row r="11" spans="1:5" x14ac:dyDescent="0.25">
      <c r="A11" s="1"/>
      <c r="B11" s="65" t="s">
        <v>34</v>
      </c>
      <c r="C11" s="9">
        <v>112709.52600000001</v>
      </c>
      <c r="D11" s="8" t="s">
        <v>3</v>
      </c>
      <c r="E11" s="1"/>
    </row>
    <row r="12" spans="1:5" x14ac:dyDescent="0.25">
      <c r="A12" s="1"/>
      <c r="B12" s="65" t="s">
        <v>25</v>
      </c>
      <c r="C12" s="9">
        <v>0</v>
      </c>
      <c r="D12" s="8" t="s">
        <v>3</v>
      </c>
      <c r="E12" s="1"/>
    </row>
    <row r="13" spans="1:5" x14ac:dyDescent="0.25">
      <c r="A13" s="1"/>
      <c r="B13" s="65" t="s">
        <v>24</v>
      </c>
      <c r="C13" s="9">
        <v>0</v>
      </c>
      <c r="D13" s="8" t="s">
        <v>3</v>
      </c>
      <c r="E13" s="1"/>
    </row>
    <row r="14" spans="1:5" x14ac:dyDescent="0.25">
      <c r="A14" s="1"/>
      <c r="B14" s="65" t="s">
        <v>111</v>
      </c>
      <c r="C14" s="9">
        <v>0</v>
      </c>
      <c r="D14" s="8" t="s">
        <v>3</v>
      </c>
      <c r="E14" s="1"/>
    </row>
    <row r="15" spans="1:5" x14ac:dyDescent="0.25">
      <c r="A15" s="1"/>
      <c r="B15" s="65" t="s">
        <v>112</v>
      </c>
      <c r="C15" s="9">
        <v>0</v>
      </c>
      <c r="D15" s="8" t="s">
        <v>3</v>
      </c>
      <c r="E15" s="1"/>
    </row>
    <row r="16" spans="1:5" x14ac:dyDescent="0.25">
      <c r="A16" s="1"/>
      <c r="B16" s="65" t="s">
        <v>17</v>
      </c>
      <c r="C16" s="9">
        <v>1030317.7007130467</v>
      </c>
      <c r="D16" s="8" t="s">
        <v>3</v>
      </c>
      <c r="E16" s="1"/>
    </row>
    <row r="17" spans="1:5" x14ac:dyDescent="0.25">
      <c r="A17" s="1"/>
      <c r="B17" s="65" t="s">
        <v>9</v>
      </c>
      <c r="C17" s="9">
        <v>0</v>
      </c>
      <c r="D17" s="8" t="s">
        <v>3</v>
      </c>
      <c r="E17" s="1"/>
    </row>
    <row r="18" spans="1:5" x14ac:dyDescent="0.25">
      <c r="A18" s="1"/>
      <c r="B18" s="65" t="s">
        <v>22</v>
      </c>
      <c r="C18" s="9">
        <v>-284862.07088280347</v>
      </c>
      <c r="D18" s="8" t="s">
        <v>3</v>
      </c>
      <c r="E18" s="1"/>
    </row>
    <row r="19" spans="1:5" x14ac:dyDescent="0.25">
      <c r="A19" s="1"/>
      <c r="B19" s="65" t="s">
        <v>23</v>
      </c>
      <c r="C19" s="9">
        <v>0</v>
      </c>
      <c r="D19" s="8" t="s">
        <v>3</v>
      </c>
      <c r="E19" s="1"/>
    </row>
    <row r="20" spans="1:5" x14ac:dyDescent="0.25">
      <c r="A20" s="1"/>
      <c r="B20" s="83" t="s">
        <v>19</v>
      </c>
      <c r="C20" s="10">
        <v>29686964.076825935</v>
      </c>
      <c r="D20" s="11" t="s">
        <v>3</v>
      </c>
      <c r="E20" s="1"/>
    </row>
    <row r="21" spans="1:5" x14ac:dyDescent="0.25">
      <c r="A21" s="1"/>
      <c r="B21" s="62" t="s">
        <v>11</v>
      </c>
      <c r="C21" s="63"/>
      <c r="D21" s="20"/>
      <c r="E21" s="1"/>
    </row>
    <row r="22" spans="1:5" x14ac:dyDescent="0.25">
      <c r="A22" s="1"/>
      <c r="B22" s="64" t="s">
        <v>11</v>
      </c>
      <c r="C22" s="10">
        <v>19766645.912160002</v>
      </c>
      <c r="D22" s="11" t="s">
        <v>3</v>
      </c>
      <c r="E22" s="1"/>
    </row>
    <row r="23" spans="1:5" x14ac:dyDescent="0.25">
      <c r="A23" s="1"/>
      <c r="B23" s="62" t="s">
        <v>77</v>
      </c>
      <c r="C23" s="63"/>
      <c r="D23" s="20"/>
      <c r="E23" s="1"/>
    </row>
    <row r="24" spans="1:5" x14ac:dyDescent="0.25">
      <c r="A24" s="1"/>
      <c r="B24" s="65" t="s">
        <v>73</v>
      </c>
      <c r="C24" s="9">
        <v>0</v>
      </c>
      <c r="D24" s="8" t="s">
        <v>3</v>
      </c>
      <c r="E24" s="1"/>
    </row>
    <row r="25" spans="1:5" x14ac:dyDescent="0.25">
      <c r="A25" s="1"/>
      <c r="B25" s="65" t="s">
        <v>74</v>
      </c>
      <c r="C25" s="9">
        <v>0</v>
      </c>
      <c r="D25" s="8" t="s">
        <v>3</v>
      </c>
      <c r="E25" s="1"/>
    </row>
    <row r="26" spans="1:5" x14ac:dyDescent="0.25">
      <c r="A26" s="1"/>
      <c r="B26" s="65" t="s">
        <v>170</v>
      </c>
      <c r="C26" s="9">
        <v>0</v>
      </c>
      <c r="D26" s="8" t="s">
        <v>3</v>
      </c>
      <c r="E26" s="1"/>
    </row>
    <row r="27" spans="1:5" x14ac:dyDescent="0.25">
      <c r="A27" s="1"/>
      <c r="B27" s="36" t="s">
        <v>171</v>
      </c>
      <c r="C27" s="9">
        <v>0</v>
      </c>
      <c r="D27" s="8" t="s">
        <v>3</v>
      </c>
      <c r="E27" s="1"/>
    </row>
    <row r="28" spans="1:5" x14ac:dyDescent="0.25">
      <c r="A28" s="1"/>
      <c r="B28" s="83" t="s">
        <v>78</v>
      </c>
      <c r="C28" s="10">
        <v>0</v>
      </c>
      <c r="D28" s="11" t="s">
        <v>3</v>
      </c>
      <c r="E28" s="1"/>
    </row>
    <row r="29" spans="1:5" x14ac:dyDescent="0.25">
      <c r="A29" s="1"/>
      <c r="B29" s="29" t="s">
        <v>128</v>
      </c>
      <c r="C29" s="63"/>
      <c r="D29" s="20"/>
      <c r="E29" s="1"/>
    </row>
    <row r="30" spans="1:5" x14ac:dyDescent="0.25">
      <c r="A30" s="1"/>
      <c r="B30" s="86" t="s">
        <v>129</v>
      </c>
      <c r="C30" s="10">
        <v>-6885630.2074618079</v>
      </c>
      <c r="D30" s="11" t="s">
        <v>3</v>
      </c>
      <c r="E30" s="1"/>
    </row>
    <row r="31" spans="1:5" x14ac:dyDescent="0.25">
      <c r="A31" s="1"/>
      <c r="B31" s="29" t="s">
        <v>140</v>
      </c>
      <c r="C31" s="63"/>
      <c r="D31" s="20"/>
      <c r="E31" s="1"/>
    </row>
    <row r="32" spans="1:5" x14ac:dyDescent="0.25">
      <c r="A32" s="1"/>
      <c r="B32" s="86" t="s">
        <v>141</v>
      </c>
      <c r="C32" s="10">
        <v>0</v>
      </c>
      <c r="D32" s="11" t="s">
        <v>3</v>
      </c>
      <c r="E32" s="1"/>
    </row>
    <row r="33" spans="1:5" x14ac:dyDescent="0.25">
      <c r="A33" s="1"/>
      <c r="B33" s="62" t="s">
        <v>249</v>
      </c>
      <c r="C33" s="12">
        <v>42567979.781524137</v>
      </c>
      <c r="D33" s="13" t="s">
        <v>3</v>
      </c>
      <c r="E33" s="1"/>
    </row>
    <row r="34" spans="1:5" ht="30" customHeight="1" x14ac:dyDescent="0.25">
      <c r="A34" s="1"/>
      <c r="B34" s="114" t="s">
        <v>250</v>
      </c>
      <c r="C34" s="114"/>
      <c r="D34" s="114"/>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fb0kEso4/n3K0yakoFlpMGiuuFrPTw0JWjubXkl/MMp4FsOiL3zffGdu1dNBVhzeTAEnFXroMHxPlxHE83seew==" saltValue="IBebwfO6HCNBSlYGrIBDxA==" spinCount="100000" sheet="1" objects="1" scenarios="1"/>
  <mergeCells count="2">
    <mergeCell ref="B3:D4"/>
    <mergeCell ref="B34:D3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4.5703125" style="2" customWidth="1"/>
    <col min="2" max="5" width="9.140625" style="2"/>
    <col min="6" max="6" width="23.140625" style="2" customWidth="1"/>
    <col min="7" max="7" width="11.7109375" style="55" customWidth="1"/>
    <col min="8" max="8" width="2.85546875" style="2" customWidth="1"/>
    <col min="9" max="9" width="4.5703125" style="2" customWidth="1"/>
    <col min="10" max="16384" width="9.140625" style="2"/>
  </cols>
  <sheetData>
    <row r="1" spans="1:9" x14ac:dyDescent="0.25">
      <c r="A1" s="1"/>
      <c r="B1" s="1"/>
      <c r="C1" s="1"/>
      <c r="D1" s="1"/>
      <c r="E1" s="1"/>
      <c r="F1" s="1"/>
      <c r="G1" s="52"/>
      <c r="H1" s="1"/>
      <c r="I1" s="1"/>
    </row>
    <row r="2" spans="1:9" ht="15" customHeight="1" x14ac:dyDescent="0.25">
      <c r="A2" s="1"/>
      <c r="B2" s="113" t="s">
        <v>90</v>
      </c>
      <c r="C2" s="113"/>
      <c r="D2" s="113"/>
      <c r="E2" s="113"/>
      <c r="F2" s="113"/>
      <c r="G2" s="113"/>
      <c r="H2" s="113"/>
      <c r="I2" s="1"/>
    </row>
    <row r="3" spans="1:9" ht="15" customHeight="1" x14ac:dyDescent="0.25">
      <c r="A3" s="1"/>
      <c r="B3" s="113"/>
      <c r="C3" s="113"/>
      <c r="D3" s="113"/>
      <c r="E3" s="113"/>
      <c r="F3" s="113"/>
      <c r="G3" s="113"/>
      <c r="H3" s="113"/>
      <c r="I3" s="1"/>
    </row>
    <row r="4" spans="1:9" ht="15" customHeight="1" x14ac:dyDescent="0.25">
      <c r="A4" s="1"/>
      <c r="B4" s="113"/>
      <c r="C4" s="113"/>
      <c r="D4" s="113"/>
      <c r="E4" s="113"/>
      <c r="F4" s="113"/>
      <c r="G4" s="113"/>
      <c r="H4" s="113"/>
      <c r="I4" s="1"/>
    </row>
    <row r="5" spans="1:9" x14ac:dyDescent="0.25">
      <c r="A5" s="1"/>
      <c r="B5" s="115" t="s">
        <v>45</v>
      </c>
      <c r="C5" s="116"/>
      <c r="D5" s="116"/>
      <c r="E5" s="116"/>
      <c r="F5" s="116"/>
      <c r="G5" s="116"/>
      <c r="H5" s="117"/>
      <c r="I5" s="1"/>
    </row>
    <row r="6" spans="1:9" x14ac:dyDescent="0.25">
      <c r="A6" s="1"/>
      <c r="B6" s="118" t="s">
        <v>36</v>
      </c>
      <c r="C6" s="119"/>
      <c r="D6" s="119"/>
      <c r="E6" s="119"/>
      <c r="F6" s="120"/>
      <c r="G6" s="67">
        <v>10749165.640427042</v>
      </c>
      <c r="H6" s="14" t="s">
        <v>3</v>
      </c>
      <c r="I6" s="1"/>
    </row>
    <row r="7" spans="1:9" x14ac:dyDescent="0.25">
      <c r="A7" s="1"/>
      <c r="B7" s="118" t="s">
        <v>37</v>
      </c>
      <c r="C7" s="119"/>
      <c r="D7" s="119"/>
      <c r="E7" s="119"/>
      <c r="F7" s="120"/>
      <c r="G7" s="53">
        <f>G6*'Fane 13. Nøgletal'!C33</f>
        <v>214983.31280854085</v>
      </c>
      <c r="H7" s="14" t="s">
        <v>3</v>
      </c>
      <c r="I7" s="1"/>
    </row>
    <row r="8" spans="1:9" x14ac:dyDescent="0.25">
      <c r="A8" s="1"/>
      <c r="B8" s="62"/>
      <c r="C8" s="63"/>
      <c r="D8" s="63"/>
      <c r="E8" s="63"/>
      <c r="F8" s="63"/>
      <c r="G8" s="54"/>
      <c r="H8" s="20"/>
      <c r="I8" s="1"/>
    </row>
    <row r="9" spans="1:9" x14ac:dyDescent="0.25">
      <c r="A9" s="1"/>
      <c r="B9" s="1"/>
      <c r="C9" s="1"/>
      <c r="D9" s="1"/>
      <c r="E9" s="1"/>
      <c r="F9" s="1"/>
      <c r="G9" s="52"/>
      <c r="H9" s="1"/>
      <c r="I9" s="1"/>
    </row>
    <row r="10" spans="1:9" x14ac:dyDescent="0.25">
      <c r="A10" s="1"/>
      <c r="B10" s="115" t="s">
        <v>46</v>
      </c>
      <c r="C10" s="116"/>
      <c r="D10" s="116"/>
      <c r="E10" s="116"/>
      <c r="F10" s="116"/>
      <c r="G10" s="116"/>
      <c r="H10" s="117"/>
      <c r="I10" s="1"/>
    </row>
    <row r="11" spans="1:9" x14ac:dyDescent="0.25">
      <c r="A11" s="1"/>
      <c r="B11" s="118" t="s">
        <v>38</v>
      </c>
      <c r="C11" s="119"/>
      <c r="D11" s="119"/>
      <c r="E11" s="119"/>
      <c r="F11" s="120"/>
      <c r="G11" s="53">
        <f>(G6-G7)*(1+'Fane 13. Nøgletal'!C9)</f>
        <v>10667966.443179255</v>
      </c>
      <c r="H11" s="14" t="s">
        <v>3</v>
      </c>
      <c r="I11" s="1"/>
    </row>
    <row r="12" spans="1:9" x14ac:dyDescent="0.25">
      <c r="A12" s="1"/>
      <c r="B12" s="121" t="s">
        <v>232</v>
      </c>
      <c r="C12" s="122"/>
      <c r="D12" s="122"/>
      <c r="E12" s="122"/>
      <c r="F12" s="123"/>
      <c r="G12" s="67">
        <v>0</v>
      </c>
      <c r="H12" s="14" t="s">
        <v>3</v>
      </c>
      <c r="I12" s="1"/>
    </row>
    <row r="13" spans="1:9" x14ac:dyDescent="0.25">
      <c r="A13" s="1"/>
      <c r="B13" s="118" t="s">
        <v>39</v>
      </c>
      <c r="C13" s="119"/>
      <c r="D13" s="119"/>
      <c r="E13" s="119"/>
      <c r="F13" s="120"/>
      <c r="G13" s="53">
        <f>(G11+G12)*'Fane 13. Nøgletal'!C33</f>
        <v>213359.32886358511</v>
      </c>
      <c r="H13" s="14" t="s">
        <v>3</v>
      </c>
      <c r="I13" s="1"/>
    </row>
    <row r="14" spans="1:9" x14ac:dyDescent="0.25">
      <c r="A14" s="1"/>
      <c r="B14" s="62"/>
      <c r="C14" s="63"/>
      <c r="D14" s="63"/>
      <c r="E14" s="63"/>
      <c r="F14" s="63"/>
      <c r="G14" s="54"/>
      <c r="H14" s="20"/>
      <c r="I14" s="1"/>
    </row>
    <row r="15" spans="1:9" x14ac:dyDescent="0.25">
      <c r="A15" s="1"/>
      <c r="B15" s="1"/>
      <c r="C15" s="1"/>
      <c r="D15" s="1"/>
      <c r="E15" s="1"/>
      <c r="F15" s="1"/>
      <c r="G15" s="52"/>
      <c r="H15" s="1"/>
      <c r="I15" s="1"/>
    </row>
    <row r="16" spans="1:9" x14ac:dyDescent="0.25">
      <c r="A16" s="1"/>
      <c r="B16" s="115" t="s">
        <v>47</v>
      </c>
      <c r="C16" s="116"/>
      <c r="D16" s="116"/>
      <c r="E16" s="116"/>
      <c r="F16" s="116"/>
      <c r="G16" s="116"/>
      <c r="H16" s="117"/>
      <c r="I16" s="1"/>
    </row>
    <row r="17" spans="1:9" x14ac:dyDescent="0.25">
      <c r="A17" s="1"/>
      <c r="B17" s="118" t="s">
        <v>40</v>
      </c>
      <c r="C17" s="119"/>
      <c r="D17" s="119"/>
      <c r="E17" s="119"/>
      <c r="F17" s="120"/>
      <c r="G17" s="53">
        <f>(G11+G12-G13)*(1+'Fane 13. Nøgletal'!C11)</f>
        <v>10631289.974547604</v>
      </c>
      <c r="H17" s="14" t="s">
        <v>3</v>
      </c>
      <c r="I17" s="1"/>
    </row>
    <row r="18" spans="1:9" x14ac:dyDescent="0.25">
      <c r="A18" s="1"/>
      <c r="B18" s="118" t="s">
        <v>108</v>
      </c>
      <c r="C18" s="119"/>
      <c r="D18" s="119"/>
      <c r="E18" s="119"/>
      <c r="F18" s="120"/>
      <c r="G18" s="67">
        <v>0</v>
      </c>
      <c r="H18" s="14" t="s">
        <v>3</v>
      </c>
      <c r="I18" s="1"/>
    </row>
    <row r="19" spans="1:9" x14ac:dyDescent="0.25">
      <c r="A19" s="1"/>
      <c r="B19" s="121" t="s">
        <v>233</v>
      </c>
      <c r="C19" s="122"/>
      <c r="D19" s="122"/>
      <c r="E19" s="122"/>
      <c r="F19" s="123"/>
      <c r="G19" s="67">
        <v>0</v>
      </c>
      <c r="H19" s="14" t="s">
        <v>3</v>
      </c>
      <c r="I19" s="1"/>
    </row>
    <row r="20" spans="1:9" x14ac:dyDescent="0.25">
      <c r="A20" s="1"/>
      <c r="B20" s="118" t="s">
        <v>41</v>
      </c>
      <c r="C20" s="119"/>
      <c r="D20" s="119"/>
      <c r="E20" s="119"/>
      <c r="F20" s="120"/>
      <c r="G20" s="53">
        <f>SUM(G17:G19)*'Fane 13. Nøgletal'!C33</f>
        <v>212625.79949095208</v>
      </c>
      <c r="H20" s="14" t="s">
        <v>3</v>
      </c>
      <c r="I20" s="1"/>
    </row>
    <row r="21" spans="1:9" x14ac:dyDescent="0.25">
      <c r="A21" s="1"/>
      <c r="B21" s="62"/>
      <c r="C21" s="63"/>
      <c r="D21" s="63"/>
      <c r="E21" s="63"/>
      <c r="F21" s="63"/>
      <c r="G21" s="54"/>
      <c r="H21" s="20"/>
      <c r="I21" s="1"/>
    </row>
    <row r="22" spans="1:9" x14ac:dyDescent="0.25">
      <c r="A22" s="1"/>
      <c r="B22" s="1"/>
      <c r="C22" s="1"/>
      <c r="D22" s="1"/>
      <c r="E22" s="1"/>
      <c r="F22" s="1"/>
      <c r="G22" s="52"/>
      <c r="H22" s="1"/>
      <c r="I22" s="1"/>
    </row>
    <row r="23" spans="1:9" x14ac:dyDescent="0.25">
      <c r="A23" s="1"/>
      <c r="B23" s="115" t="s">
        <v>48</v>
      </c>
      <c r="C23" s="116"/>
      <c r="D23" s="116"/>
      <c r="E23" s="116"/>
      <c r="F23" s="116"/>
      <c r="G23" s="116"/>
      <c r="H23" s="117"/>
      <c r="I23" s="1"/>
    </row>
    <row r="24" spans="1:9" x14ac:dyDescent="0.25">
      <c r="A24" s="1"/>
      <c r="B24" s="118" t="s">
        <v>42</v>
      </c>
      <c r="C24" s="119"/>
      <c r="D24" s="119"/>
      <c r="E24" s="119"/>
      <c r="F24" s="120"/>
      <c r="G24" s="53">
        <f>(G17+G18+G19-G20)*(1+'Fane 13. Nøgletal'!C11)</f>
        <v>10594739.599615108</v>
      </c>
      <c r="H24" s="14" t="s">
        <v>3</v>
      </c>
      <c r="I24" s="1"/>
    </row>
    <row r="25" spans="1:9" x14ac:dyDescent="0.25">
      <c r="A25" s="1"/>
      <c r="B25" s="121" t="s">
        <v>43</v>
      </c>
      <c r="C25" s="122"/>
      <c r="D25" s="122"/>
      <c r="E25" s="122"/>
      <c r="F25" s="123"/>
      <c r="G25" s="67">
        <v>0</v>
      </c>
      <c r="H25" s="14" t="s">
        <v>3</v>
      </c>
      <c r="I25" s="1"/>
    </row>
    <row r="26" spans="1:9" x14ac:dyDescent="0.25">
      <c r="A26" s="1"/>
      <c r="B26" s="118" t="s">
        <v>44</v>
      </c>
      <c r="C26" s="119"/>
      <c r="D26" s="119"/>
      <c r="E26" s="119"/>
      <c r="F26" s="120"/>
      <c r="G26" s="53">
        <f>(G24+G25)*'Fane 13. Nøgletal'!C33</f>
        <v>211894.79199230217</v>
      </c>
      <c r="H26" s="14" t="s">
        <v>3</v>
      </c>
      <c r="I26" s="1"/>
    </row>
    <row r="27" spans="1:9" x14ac:dyDescent="0.25">
      <c r="A27" s="1"/>
      <c r="B27" s="62"/>
      <c r="C27" s="63"/>
      <c r="D27" s="63"/>
      <c r="E27" s="63"/>
      <c r="F27" s="63"/>
      <c r="G27" s="54"/>
      <c r="H27" s="20"/>
      <c r="I27" s="1"/>
    </row>
    <row r="28" spans="1:9" x14ac:dyDescent="0.25">
      <c r="A28" s="1"/>
      <c r="B28" s="1"/>
      <c r="C28" s="1"/>
      <c r="D28" s="1"/>
      <c r="E28" s="1"/>
      <c r="F28" s="1"/>
      <c r="G28" s="52"/>
      <c r="H28" s="1"/>
      <c r="I28" s="1"/>
    </row>
    <row r="29" spans="1:9" x14ac:dyDescent="0.25">
      <c r="A29" s="1"/>
      <c r="B29" s="115" t="s">
        <v>51</v>
      </c>
      <c r="C29" s="116"/>
      <c r="D29" s="116"/>
      <c r="E29" s="116"/>
      <c r="F29" s="116"/>
      <c r="G29" s="116"/>
      <c r="H29" s="117"/>
      <c r="I29" s="1"/>
    </row>
    <row r="30" spans="1:9" x14ac:dyDescent="0.25">
      <c r="A30" s="1"/>
      <c r="B30" s="118" t="s">
        <v>52</v>
      </c>
      <c r="C30" s="119"/>
      <c r="D30" s="119"/>
      <c r="E30" s="119"/>
      <c r="F30" s="120"/>
      <c r="G30" s="53">
        <f>G24*(1-'Fane 13. Nøgletal'!C33)*(1+'Fane 13. Nøgletal'!C11)+G25*(1-'Fane 13. Nøgletal'!C33)*(1+'Fane 13. Nøgletal'!C12)</f>
        <v>10558314.88487163</v>
      </c>
      <c r="H30" s="14" t="s">
        <v>3</v>
      </c>
      <c r="I30" s="1"/>
    </row>
    <row r="31" spans="1:9" x14ac:dyDescent="0.25">
      <c r="A31" s="1"/>
      <c r="B31" s="124" t="s">
        <v>104</v>
      </c>
      <c r="C31" s="125"/>
      <c r="D31" s="125"/>
      <c r="E31" s="125"/>
      <c r="F31" s="126"/>
      <c r="G31" s="67">
        <f>G25*(1-'Fane 13. Nøgletal'!C33)*(1+'Fane 13. Nøgletal'!C12)</f>
        <v>0</v>
      </c>
      <c r="H31" s="14" t="s">
        <v>3</v>
      </c>
      <c r="I31" s="1"/>
    </row>
    <row r="32" spans="1:9" x14ac:dyDescent="0.25">
      <c r="A32" s="1"/>
      <c r="B32" s="118" t="s">
        <v>234</v>
      </c>
      <c r="C32" s="119"/>
      <c r="D32" s="119"/>
      <c r="E32" s="119"/>
      <c r="F32" s="120"/>
      <c r="G32" s="67">
        <v>1852931.4118005598</v>
      </c>
      <c r="H32" s="14" t="s">
        <v>3</v>
      </c>
      <c r="I32" s="1"/>
    </row>
    <row r="33" spans="1:9" x14ac:dyDescent="0.25">
      <c r="A33" s="1"/>
      <c r="B33" s="118" t="s">
        <v>53</v>
      </c>
      <c r="C33" s="119"/>
      <c r="D33" s="119"/>
      <c r="E33" s="119"/>
      <c r="F33" s="120"/>
      <c r="G33" s="53">
        <f>(G30+G32)*'Fane 13. Nøgletal'!C33</f>
        <v>248224.9259334438</v>
      </c>
      <c r="H33" s="14" t="s">
        <v>3</v>
      </c>
      <c r="I33" s="1"/>
    </row>
    <row r="34" spans="1:9" x14ac:dyDescent="0.25">
      <c r="A34" s="1"/>
      <c r="B34" s="62"/>
      <c r="C34" s="63"/>
      <c r="D34" s="63"/>
      <c r="E34" s="63"/>
      <c r="F34" s="63"/>
      <c r="G34" s="54"/>
      <c r="H34" s="20"/>
      <c r="I34" s="1"/>
    </row>
    <row r="35" spans="1:9" x14ac:dyDescent="0.25">
      <c r="A35" s="1"/>
      <c r="B35" s="1"/>
      <c r="C35" s="1"/>
      <c r="D35" s="1"/>
      <c r="E35" s="1"/>
      <c r="F35" s="1"/>
      <c r="G35" s="52"/>
      <c r="H35" s="1"/>
      <c r="I35" s="1"/>
    </row>
    <row r="36" spans="1:9" x14ac:dyDescent="0.25">
      <c r="A36" s="1"/>
      <c r="B36" s="115" t="s">
        <v>89</v>
      </c>
      <c r="C36" s="116"/>
      <c r="D36" s="116"/>
      <c r="E36" s="116"/>
      <c r="F36" s="116"/>
      <c r="G36" s="116"/>
      <c r="H36" s="117"/>
      <c r="I36" s="1"/>
    </row>
    <row r="37" spans="1:9" x14ac:dyDescent="0.25">
      <c r="A37" s="1"/>
      <c r="B37" s="118" t="s">
        <v>71</v>
      </c>
      <c r="C37" s="119"/>
      <c r="D37" s="119"/>
      <c r="E37" s="119"/>
      <c r="F37" s="120"/>
      <c r="G37" s="53">
        <f>(G30-G31)*(1-'Fane 13. Nøgletal'!C33)*(1+'Fane 13. Nøgletal'!C11)+G31*(1-'Fane 13. Nøgletal'!C33)*(1+'Fane 13. Nøgletal'!C12)+G32*(1-'Fane 13. Nøgletal'!C33)*(1+'Fane 13. Nøgletal'!C13)</f>
        <v>12360041.829821477</v>
      </c>
      <c r="H37" s="14" t="s">
        <v>3</v>
      </c>
      <c r="I37" s="1"/>
    </row>
    <row r="38" spans="1:9" x14ac:dyDescent="0.25">
      <c r="A38" s="1"/>
      <c r="B38" s="124" t="s">
        <v>104</v>
      </c>
      <c r="C38" s="125"/>
      <c r="D38" s="125"/>
      <c r="E38" s="125"/>
      <c r="F38" s="126"/>
      <c r="G38" s="67">
        <f>G31*(1-'Fane 13. Nøgletal'!C33)*(1+'Fane 13. Nøgletal'!C12)</f>
        <v>0</v>
      </c>
      <c r="H38" s="14" t="s">
        <v>3</v>
      </c>
      <c r="I38" s="1"/>
    </row>
    <row r="39" spans="1:9" x14ac:dyDescent="0.25">
      <c r="A39" s="1"/>
      <c r="B39" s="124" t="s">
        <v>122</v>
      </c>
      <c r="C39" s="119"/>
      <c r="D39" s="119"/>
      <c r="E39" s="119"/>
      <c r="F39" s="120"/>
      <c r="G39" s="53">
        <f>G32*(1-'Fane 13. Nøgletal'!C33)*(1+'Fane 13. Nøgletal'!C13)</f>
        <v>1838026.4315240362</v>
      </c>
      <c r="H39" s="14" t="s">
        <v>3</v>
      </c>
      <c r="I39" s="1"/>
    </row>
    <row r="40" spans="1:9" x14ac:dyDescent="0.25">
      <c r="A40" s="1"/>
      <c r="B40" s="118" t="s">
        <v>235</v>
      </c>
      <c r="C40" s="119"/>
      <c r="D40" s="119"/>
      <c r="E40" s="119"/>
      <c r="F40" s="120"/>
      <c r="G40" s="67">
        <v>951742.54360788013</v>
      </c>
      <c r="H40" s="14" t="s">
        <v>3</v>
      </c>
      <c r="I40" s="1"/>
    </row>
    <row r="41" spans="1:9" x14ac:dyDescent="0.25">
      <c r="A41" s="1"/>
      <c r="B41" s="118" t="s">
        <v>105</v>
      </c>
      <c r="C41" s="119"/>
      <c r="D41" s="119"/>
      <c r="E41" s="119"/>
      <c r="F41" s="120"/>
      <c r="G41" s="53">
        <f>(G37+G40)*'Fane 13. Nøgletal'!C33</f>
        <v>266235.68746858713</v>
      </c>
      <c r="H41" s="14" t="s">
        <v>3</v>
      </c>
      <c r="I41" s="1"/>
    </row>
    <row r="42" spans="1:9" x14ac:dyDescent="0.25">
      <c r="A42" s="1"/>
      <c r="B42" s="62"/>
      <c r="C42" s="63"/>
      <c r="D42" s="63"/>
      <c r="E42" s="63"/>
      <c r="F42" s="63"/>
      <c r="G42" s="54"/>
      <c r="H42" s="20"/>
      <c r="I42" s="1"/>
    </row>
    <row r="43" spans="1:9" x14ac:dyDescent="0.25">
      <c r="A43" s="1"/>
      <c r="B43" s="1"/>
      <c r="C43" s="1"/>
      <c r="D43" s="1"/>
      <c r="E43" s="1"/>
      <c r="F43" s="1"/>
      <c r="G43" s="52"/>
      <c r="H43" s="1"/>
      <c r="I43" s="1"/>
    </row>
    <row r="44" spans="1:9" x14ac:dyDescent="0.25">
      <c r="A44" s="1"/>
      <c r="B44" s="115" t="s">
        <v>173</v>
      </c>
      <c r="C44" s="116"/>
      <c r="D44" s="116"/>
      <c r="E44" s="116"/>
      <c r="F44" s="116"/>
      <c r="G44" s="116"/>
      <c r="H44" s="117"/>
      <c r="I44" s="1"/>
    </row>
    <row r="45" spans="1:9" x14ac:dyDescent="0.25">
      <c r="A45" s="1"/>
      <c r="B45" s="118" t="s">
        <v>70</v>
      </c>
      <c r="C45" s="119"/>
      <c r="D45" s="119"/>
      <c r="E45" s="119"/>
      <c r="F45" s="120"/>
      <c r="G45" s="53">
        <f>(G37+G40-G41)*(1+'Fane 13. Nøgletal'!C15)</f>
        <v>13509970.219180973</v>
      </c>
      <c r="H45" s="14" t="s">
        <v>3</v>
      </c>
      <c r="I45" s="1"/>
    </row>
    <row r="46" spans="1:9" x14ac:dyDescent="0.25">
      <c r="A46" s="1"/>
      <c r="B46" s="81" t="s">
        <v>236</v>
      </c>
      <c r="C46" s="79"/>
      <c r="D46" s="79"/>
      <c r="E46" s="79"/>
      <c r="F46" s="80"/>
      <c r="G46" s="58">
        <v>733133.32495920011</v>
      </c>
      <c r="H46" s="14" t="s">
        <v>3</v>
      </c>
      <c r="I46" s="1"/>
    </row>
    <row r="47" spans="1:9" x14ac:dyDescent="0.25">
      <c r="A47" s="1"/>
      <c r="B47" s="118" t="s">
        <v>165</v>
      </c>
      <c r="C47" s="119"/>
      <c r="D47" s="119"/>
      <c r="E47" s="119"/>
      <c r="F47" s="120"/>
      <c r="G47" s="53">
        <f>(G45+G46)*'Fane 13. Nøgletal'!C33</f>
        <v>284862.07088280347</v>
      </c>
      <c r="H47" s="14" t="s">
        <v>3</v>
      </c>
      <c r="I47" s="1"/>
    </row>
    <row r="48" spans="1:9" x14ac:dyDescent="0.25">
      <c r="A48" s="1"/>
      <c r="B48" s="62"/>
      <c r="C48" s="63"/>
      <c r="D48" s="63"/>
      <c r="E48" s="63"/>
      <c r="F48" s="63"/>
      <c r="G48" s="54"/>
      <c r="H48" s="20"/>
      <c r="I48" s="1"/>
    </row>
    <row r="49" spans="1:9" x14ac:dyDescent="0.25">
      <c r="A49" s="1"/>
      <c r="B49" s="1"/>
      <c r="C49" s="1"/>
      <c r="D49" s="1"/>
      <c r="E49" s="1"/>
      <c r="F49" s="1"/>
      <c r="G49" s="52"/>
      <c r="H49" s="1"/>
      <c r="I49" s="1"/>
    </row>
    <row r="50" spans="1:9" x14ac:dyDescent="0.25">
      <c r="A50" s="1"/>
      <c r="B50" s="1"/>
      <c r="C50" s="1"/>
      <c r="D50" s="1"/>
      <c r="E50" s="1"/>
      <c r="F50" s="1"/>
      <c r="G50" s="52"/>
      <c r="H50" s="1"/>
      <c r="I50" s="1"/>
    </row>
    <row r="51" spans="1:9" x14ac:dyDescent="0.25">
      <c r="A51" s="1"/>
      <c r="B51" s="1"/>
      <c r="C51" s="1"/>
      <c r="D51" s="1"/>
      <c r="E51" s="1"/>
      <c r="F51" s="1"/>
      <c r="G51" s="52"/>
      <c r="H51" s="1"/>
      <c r="I51" s="1"/>
    </row>
    <row r="52" spans="1:9" x14ac:dyDescent="0.25">
      <c r="A52" s="1"/>
      <c r="B52" s="1"/>
      <c r="C52" s="1"/>
      <c r="D52" s="1"/>
      <c r="E52" s="1"/>
      <c r="F52" s="1"/>
      <c r="G52" s="52"/>
      <c r="H52" s="1"/>
      <c r="I52" s="1"/>
    </row>
    <row r="53" spans="1:9" x14ac:dyDescent="0.25">
      <c r="A53" s="1"/>
      <c r="B53" s="115" t="s">
        <v>172</v>
      </c>
      <c r="C53" s="116"/>
      <c r="D53" s="116"/>
      <c r="E53" s="116"/>
      <c r="F53" s="116"/>
      <c r="G53" s="116"/>
      <c r="H53" s="117"/>
      <c r="I53" s="1"/>
    </row>
    <row r="54" spans="1:9" x14ac:dyDescent="0.25">
      <c r="A54" s="1"/>
      <c r="B54" s="118" t="s">
        <v>120</v>
      </c>
      <c r="C54" s="119"/>
      <c r="D54" s="119"/>
      <c r="E54" s="119"/>
      <c r="F54" s="120"/>
      <c r="G54" s="53">
        <f>(G45+G46-G47)*(1+'Fane 13. Nøgletal'!C15)</f>
        <v>14455154.869705334</v>
      </c>
      <c r="H54" s="14" t="s">
        <v>3</v>
      </c>
      <c r="I54" s="1"/>
    </row>
    <row r="55" spans="1:9" x14ac:dyDescent="0.25">
      <c r="A55" s="1"/>
      <c r="B55" s="81" t="s">
        <v>237</v>
      </c>
      <c r="C55" s="79"/>
      <c r="D55" s="79"/>
      <c r="E55" s="79"/>
      <c r="F55" s="80"/>
      <c r="G55" s="58">
        <f>SUM('Fane 2.1. Økonomisk ramme 2024'!C10,'Fane 2.1. Økonomisk ramme 2024'!C14,-'Fane 12. Bortfald'!C13)*(1+'Fane 13. Nøgletal'!C16)</f>
        <v>745637.5372275199</v>
      </c>
      <c r="H55" s="14" t="s">
        <v>3</v>
      </c>
      <c r="I55" s="1"/>
    </row>
    <row r="56" spans="1:9" x14ac:dyDescent="0.25">
      <c r="A56" s="1"/>
      <c r="B56" s="118" t="s">
        <v>121</v>
      </c>
      <c r="C56" s="119"/>
      <c r="D56" s="119"/>
      <c r="E56" s="119"/>
      <c r="F56" s="120"/>
      <c r="G56" s="53">
        <f>(G54+G55)*'Fane 13. Nøgletal'!C33</f>
        <v>304015.84813865711</v>
      </c>
      <c r="H56" s="14" t="s">
        <v>3</v>
      </c>
      <c r="I56" s="1"/>
    </row>
    <row r="57" spans="1:9" x14ac:dyDescent="0.25">
      <c r="A57" s="1"/>
      <c r="B57" s="62"/>
      <c r="C57" s="63"/>
      <c r="D57" s="63"/>
      <c r="E57" s="63"/>
      <c r="F57" s="63"/>
      <c r="G57" s="54"/>
      <c r="H57" s="20"/>
      <c r="I57" s="1"/>
    </row>
    <row r="58" spans="1:9" x14ac:dyDescent="0.25">
      <c r="A58" s="1"/>
      <c r="B58" s="1"/>
      <c r="C58" s="1"/>
      <c r="D58" s="1"/>
      <c r="E58" s="1"/>
      <c r="F58" s="1"/>
      <c r="G58" s="52"/>
      <c r="H58" s="1"/>
      <c r="I58" s="1"/>
    </row>
    <row r="59" spans="1:9" x14ac:dyDescent="0.25">
      <c r="A59" s="1"/>
      <c r="B59" s="115" t="s">
        <v>132</v>
      </c>
      <c r="C59" s="116"/>
      <c r="D59" s="116"/>
      <c r="E59" s="116"/>
      <c r="F59" s="116"/>
      <c r="G59" s="116"/>
      <c r="H59" s="117"/>
      <c r="I59" s="1"/>
    </row>
    <row r="60" spans="1:9" x14ac:dyDescent="0.25">
      <c r="A60" s="1"/>
      <c r="B60" s="118" t="s">
        <v>133</v>
      </c>
      <c r="C60" s="119"/>
      <c r="D60" s="119"/>
      <c r="E60" s="119"/>
      <c r="F60" s="120"/>
      <c r="G60" s="53">
        <f>(G54+G55-G56)*(1+'Fane 13. Nøgletal'!C16)</f>
        <v>16100436.10474477</v>
      </c>
      <c r="H60" s="14" t="s">
        <v>3</v>
      </c>
      <c r="I60" s="1"/>
    </row>
    <row r="61" spans="1:9" x14ac:dyDescent="0.25">
      <c r="A61" s="1"/>
      <c r="B61" s="118" t="s">
        <v>134</v>
      </c>
      <c r="C61" s="119"/>
      <c r="D61" s="119"/>
      <c r="E61" s="119"/>
      <c r="F61" s="120"/>
      <c r="G61" s="53">
        <f>(G60)*'Fane 13. Nøgletal'!C33</f>
        <v>322008.72209489538</v>
      </c>
      <c r="H61" s="14" t="s">
        <v>3</v>
      </c>
      <c r="I61" s="1"/>
    </row>
    <row r="62" spans="1:9" x14ac:dyDescent="0.25">
      <c r="A62" s="1"/>
      <c r="B62" s="62"/>
      <c r="C62" s="63"/>
      <c r="D62" s="63"/>
      <c r="E62" s="63"/>
      <c r="F62" s="63"/>
      <c r="G62" s="54"/>
      <c r="H62" s="20"/>
      <c r="I62" s="1"/>
    </row>
    <row r="63" spans="1:9" x14ac:dyDescent="0.25">
      <c r="A63" s="1"/>
      <c r="B63" s="1"/>
      <c r="C63" s="1"/>
      <c r="D63" s="1"/>
      <c r="E63" s="1"/>
      <c r="F63" s="1"/>
      <c r="G63" s="52"/>
      <c r="H63" s="1"/>
      <c r="I63" s="1"/>
    </row>
    <row r="64" spans="1:9" x14ac:dyDescent="0.25">
      <c r="A64" s="1"/>
      <c r="B64" s="115" t="s">
        <v>151</v>
      </c>
      <c r="C64" s="116"/>
      <c r="D64" s="116"/>
      <c r="E64" s="116"/>
      <c r="F64" s="116"/>
      <c r="G64" s="116"/>
      <c r="H64" s="117"/>
      <c r="I64" s="1"/>
    </row>
    <row r="65" spans="1:9" x14ac:dyDescent="0.25">
      <c r="A65" s="1"/>
      <c r="B65" s="118" t="s">
        <v>152</v>
      </c>
      <c r="C65" s="119"/>
      <c r="D65" s="119"/>
      <c r="E65" s="119"/>
      <c r="F65" s="120"/>
      <c r="G65" s="53">
        <f>(G60-G61)*(1+'Fane 13. Nøgletal'!C16)</f>
        <v>17053324.315167982</v>
      </c>
      <c r="H65" s="14" t="s">
        <v>3</v>
      </c>
      <c r="I65" s="1"/>
    </row>
    <row r="66" spans="1:9" x14ac:dyDescent="0.25">
      <c r="A66" s="1"/>
      <c r="B66" s="118" t="s">
        <v>153</v>
      </c>
      <c r="C66" s="119"/>
      <c r="D66" s="119"/>
      <c r="E66" s="119"/>
      <c r="F66" s="120"/>
      <c r="G66" s="53">
        <f>(G65)*'Fane 13. Nøgletal'!C33</f>
        <v>341066.48630335968</v>
      </c>
      <c r="H66" s="14" t="s">
        <v>3</v>
      </c>
      <c r="I66" s="1"/>
    </row>
    <row r="67" spans="1:9" x14ac:dyDescent="0.25">
      <c r="A67" s="1"/>
      <c r="B67" s="62"/>
      <c r="C67" s="63"/>
      <c r="D67" s="63"/>
      <c r="E67" s="63"/>
      <c r="F67" s="63"/>
      <c r="G67" s="54"/>
      <c r="H67" s="20"/>
      <c r="I67" s="1"/>
    </row>
    <row r="68" spans="1:9" x14ac:dyDescent="0.25">
      <c r="A68" s="1"/>
      <c r="B68" s="1"/>
      <c r="C68" s="1"/>
      <c r="D68" s="1"/>
      <c r="E68" s="1"/>
      <c r="F68" s="1"/>
      <c r="G68" s="52"/>
      <c r="H68" s="1"/>
      <c r="I68" s="1"/>
    </row>
    <row r="69" spans="1:9" x14ac:dyDescent="0.25">
      <c r="A69" s="1"/>
      <c r="B69" s="115" t="s">
        <v>212</v>
      </c>
      <c r="C69" s="116"/>
      <c r="D69" s="116"/>
      <c r="E69" s="116"/>
      <c r="F69" s="116"/>
      <c r="G69" s="116"/>
      <c r="H69" s="117"/>
      <c r="I69" s="1"/>
    </row>
    <row r="70" spans="1:9" x14ac:dyDescent="0.25">
      <c r="A70" s="1"/>
      <c r="B70" s="118" t="s">
        <v>213</v>
      </c>
      <c r="C70" s="119"/>
      <c r="D70" s="119"/>
      <c r="E70" s="119"/>
      <c r="F70" s="120"/>
      <c r="G70" s="53">
        <f>(G65-G66)*(1+'Fane 13. Nøgletal'!C16)</f>
        <v>18062608.261436883</v>
      </c>
      <c r="H70" s="14" t="s">
        <v>3</v>
      </c>
      <c r="I70" s="1"/>
    </row>
    <row r="71" spans="1:9" x14ac:dyDescent="0.25">
      <c r="A71" s="1"/>
      <c r="B71" s="118" t="s">
        <v>214</v>
      </c>
      <c r="C71" s="119"/>
      <c r="D71" s="119"/>
      <c r="E71" s="119"/>
      <c r="F71" s="120"/>
      <c r="G71" s="53">
        <f>(G70)*'Fane 13. Nøgletal'!C33</f>
        <v>361252.16522873769</v>
      </c>
      <c r="H71" s="14" t="s">
        <v>3</v>
      </c>
      <c r="I71" s="1"/>
    </row>
    <row r="72" spans="1:9" x14ac:dyDescent="0.25">
      <c r="A72" s="1"/>
      <c r="B72" s="62"/>
      <c r="C72" s="63"/>
      <c r="D72" s="63"/>
      <c r="E72" s="63"/>
      <c r="F72" s="63"/>
      <c r="G72" s="54"/>
      <c r="H72" s="20"/>
      <c r="I72" s="1"/>
    </row>
    <row r="73" spans="1:9" x14ac:dyDescent="0.25">
      <c r="A73" s="1"/>
      <c r="B73" s="1"/>
      <c r="C73" s="1"/>
      <c r="D73" s="1"/>
      <c r="E73" s="1"/>
      <c r="F73" s="1"/>
      <c r="G73" s="52"/>
      <c r="H73" s="1"/>
      <c r="I73" s="1"/>
    </row>
    <row r="74" spans="1:9" x14ac:dyDescent="0.25">
      <c r="A74" s="1"/>
      <c r="B74" s="1"/>
      <c r="C74" s="1"/>
      <c r="D74" s="1"/>
      <c r="E74" s="1"/>
      <c r="F74" s="1"/>
      <c r="G74" s="52"/>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n+rWaQ3lh6DmAMWaRRgFYfZl5rVzRXhNWm4zx2lObRg7NxKvBALtRgifgyb/I0pbluaiZ07NcDuzTOB0h3Ezaw==" saltValue="MDrJW7DEEH4TmtpmBgvizw==" spinCount="100000" sheet="1" objects="1" scenarios="1"/>
  <mergeCells count="43">
    <mergeCell ref="B69:H69"/>
    <mergeCell ref="B70:F70"/>
    <mergeCell ref="B71:F71"/>
    <mergeCell ref="B38:F38"/>
    <mergeCell ref="B39:F39"/>
    <mergeCell ref="B61:F61"/>
    <mergeCell ref="B60:F60"/>
    <mergeCell ref="B59:H59"/>
    <mergeCell ref="B53:H53"/>
    <mergeCell ref="B54:F54"/>
    <mergeCell ref="B56:F56"/>
    <mergeCell ref="B44:H44"/>
    <mergeCell ref="B45:F45"/>
    <mergeCell ref="B47:F47"/>
    <mergeCell ref="B40:F40"/>
    <mergeCell ref="B41:F41"/>
    <mergeCell ref="B20:F20"/>
    <mergeCell ref="B24:F24"/>
    <mergeCell ref="B25:F25"/>
    <mergeCell ref="B26:F26"/>
    <mergeCell ref="B37:F37"/>
    <mergeCell ref="B32:F32"/>
    <mergeCell ref="B33:F33"/>
    <mergeCell ref="B31:F31"/>
    <mergeCell ref="B29:H29"/>
    <mergeCell ref="B30:F30"/>
    <mergeCell ref="B36:H36"/>
    <mergeCell ref="B64:H64"/>
    <mergeCell ref="B65:F65"/>
    <mergeCell ref="B66:F66"/>
    <mergeCell ref="B2:H4"/>
    <mergeCell ref="B5:H5"/>
    <mergeCell ref="B6:F6"/>
    <mergeCell ref="B7:F7"/>
    <mergeCell ref="B11:F11"/>
    <mergeCell ref="B10:H10"/>
    <mergeCell ref="B16:H16"/>
    <mergeCell ref="B23:H23"/>
    <mergeCell ref="B12:F12"/>
    <mergeCell ref="B13:F13"/>
    <mergeCell ref="B17:F17"/>
    <mergeCell ref="B19:F19"/>
    <mergeCell ref="B18:F1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99"/>
  <sheetViews>
    <sheetView showGridLines="0" view="pageLayout" zoomScaleNormal="100" workbookViewId="0"/>
  </sheetViews>
  <sheetFormatPr defaultColWidth="9.140625" defaultRowHeight="15" x14ac:dyDescent="0.25"/>
  <cols>
    <col min="1" max="1" width="4.85546875" style="2" customWidth="1"/>
    <col min="2" max="5" width="9.140625" style="2"/>
    <col min="6" max="6" width="20.140625" style="2" customWidth="1"/>
    <col min="7" max="7" width="16.85546875" style="55" customWidth="1"/>
    <col min="8" max="8" width="3.28515625" style="2" customWidth="1"/>
    <col min="9" max="9" width="4.85546875" style="2" customWidth="1"/>
    <col min="10" max="16384" width="9.140625" style="2"/>
  </cols>
  <sheetData>
    <row r="1" spans="1:9" ht="14.25" customHeight="1" x14ac:dyDescent="0.25">
      <c r="A1" s="1"/>
      <c r="B1" s="30"/>
      <c r="C1" s="30"/>
      <c r="D1" s="30"/>
      <c r="E1" s="30"/>
      <c r="F1" s="30"/>
      <c r="G1" s="56"/>
      <c r="H1" s="30"/>
      <c r="I1" s="1"/>
    </row>
    <row r="2" spans="1:9" ht="21" customHeight="1" x14ac:dyDescent="0.25">
      <c r="A2" s="1"/>
      <c r="B2" s="113" t="s">
        <v>91</v>
      </c>
      <c r="C2" s="113"/>
      <c r="D2" s="113"/>
      <c r="E2" s="113"/>
      <c r="F2" s="113"/>
      <c r="G2" s="113"/>
      <c r="H2" s="113"/>
      <c r="I2" s="1"/>
    </row>
    <row r="3" spans="1:9" ht="18" customHeight="1" x14ac:dyDescent="0.25">
      <c r="A3" s="1"/>
      <c r="B3" s="113"/>
      <c r="C3" s="113"/>
      <c r="D3" s="113"/>
      <c r="E3" s="113"/>
      <c r="F3" s="113"/>
      <c r="G3" s="113"/>
      <c r="H3" s="113"/>
      <c r="I3" s="1"/>
    </row>
    <row r="4" spans="1:9" ht="14.25" customHeight="1" x14ac:dyDescent="0.25">
      <c r="A4" s="1"/>
      <c r="B4" s="31"/>
      <c r="C4" s="31"/>
      <c r="D4" s="31"/>
      <c r="E4" s="31"/>
      <c r="F4" s="31"/>
      <c r="G4" s="57"/>
      <c r="H4" s="31"/>
      <c r="I4" s="1"/>
    </row>
    <row r="5" spans="1:9" x14ac:dyDescent="0.25">
      <c r="A5" s="1"/>
      <c r="B5" s="115" t="s">
        <v>49</v>
      </c>
      <c r="C5" s="116"/>
      <c r="D5" s="116"/>
      <c r="E5" s="116"/>
      <c r="F5" s="116"/>
      <c r="G5" s="116"/>
      <c r="H5" s="117"/>
      <c r="I5" s="1"/>
    </row>
    <row r="6" spans="1:9" x14ac:dyDescent="0.25">
      <c r="A6" s="1"/>
      <c r="B6" s="118" t="s">
        <v>54</v>
      </c>
      <c r="C6" s="119"/>
      <c r="D6" s="119"/>
      <c r="E6" s="119"/>
      <c r="F6" s="120"/>
      <c r="G6" s="67">
        <v>14559351.82273352</v>
      </c>
      <c r="H6" s="14" t="s">
        <v>3</v>
      </c>
      <c r="I6" s="1"/>
    </row>
    <row r="7" spans="1:9" x14ac:dyDescent="0.25">
      <c r="A7" s="1"/>
      <c r="B7" s="118" t="s">
        <v>50</v>
      </c>
      <c r="C7" s="119"/>
      <c r="D7" s="119"/>
      <c r="E7" s="119"/>
      <c r="F7" s="120"/>
      <c r="G7" s="53">
        <f>G6*'Fane 13. Nøgletal'!C21</f>
        <v>132490.10158687504</v>
      </c>
      <c r="H7" s="14" t="s">
        <v>3</v>
      </c>
      <c r="I7" s="1"/>
    </row>
    <row r="8" spans="1:9" x14ac:dyDescent="0.25">
      <c r="A8" s="1"/>
      <c r="B8" s="62"/>
      <c r="C8" s="63"/>
      <c r="D8" s="63"/>
      <c r="E8" s="63"/>
      <c r="F8" s="63"/>
      <c r="G8" s="54"/>
      <c r="H8" s="20"/>
      <c r="I8" s="1"/>
    </row>
    <row r="9" spans="1:9" x14ac:dyDescent="0.25">
      <c r="A9" s="1"/>
      <c r="B9" s="1"/>
      <c r="C9" s="1"/>
      <c r="D9" s="1"/>
      <c r="E9" s="1"/>
      <c r="F9" s="1"/>
      <c r="G9" s="52"/>
      <c r="H9" s="1"/>
      <c r="I9" s="1"/>
    </row>
    <row r="10" spans="1:9" x14ac:dyDescent="0.25">
      <c r="A10" s="1"/>
      <c r="B10" s="115" t="s">
        <v>55</v>
      </c>
      <c r="C10" s="116"/>
      <c r="D10" s="116"/>
      <c r="E10" s="116"/>
      <c r="F10" s="116"/>
      <c r="G10" s="116"/>
      <c r="H10" s="117"/>
      <c r="I10" s="1"/>
    </row>
    <row r="11" spans="1:9" x14ac:dyDescent="0.25">
      <c r="A11" s="1"/>
      <c r="B11" s="118" t="s">
        <v>56</v>
      </c>
      <c r="C11" s="119"/>
      <c r="D11" s="119"/>
      <c r="E11" s="119"/>
      <c r="F11" s="120"/>
      <c r="G11" s="53">
        <f>(G6-G7)*(1+'Fane 13. Nøgletal'!C9)</f>
        <v>14610082.865005206</v>
      </c>
      <c r="H11" s="14" t="s">
        <v>3</v>
      </c>
      <c r="I11" s="1"/>
    </row>
    <row r="12" spans="1:9" x14ac:dyDescent="0.25">
      <c r="A12" s="1"/>
      <c r="B12" s="121" t="s">
        <v>238</v>
      </c>
      <c r="C12" s="122"/>
      <c r="D12" s="122"/>
      <c r="E12" s="122"/>
      <c r="F12" s="123"/>
      <c r="G12" s="67">
        <v>0</v>
      </c>
      <c r="H12" s="14" t="s">
        <v>3</v>
      </c>
      <c r="I12" s="1"/>
    </row>
    <row r="13" spans="1:9" x14ac:dyDescent="0.25">
      <c r="A13" s="1"/>
      <c r="B13" s="118" t="s">
        <v>57</v>
      </c>
      <c r="C13" s="119"/>
      <c r="D13" s="119"/>
      <c r="E13" s="119"/>
      <c r="F13" s="120"/>
      <c r="G13" s="53">
        <f>G11*'Fane 13. Nøgletal'!C21+G12*'Fane 13. Nøgletal'!C22</f>
        <v>132951.75407154739</v>
      </c>
      <c r="H13" s="14" t="s">
        <v>3</v>
      </c>
      <c r="I13" s="1"/>
    </row>
    <row r="14" spans="1:9" x14ac:dyDescent="0.25">
      <c r="A14" s="1"/>
      <c r="B14" s="62"/>
      <c r="C14" s="63"/>
      <c r="D14" s="63"/>
      <c r="E14" s="63"/>
      <c r="F14" s="63"/>
      <c r="G14" s="54"/>
      <c r="H14" s="20"/>
      <c r="I14" s="1"/>
    </row>
    <row r="15" spans="1:9" x14ac:dyDescent="0.25">
      <c r="A15" s="1"/>
      <c r="B15" s="1"/>
      <c r="C15" s="1"/>
      <c r="D15" s="1"/>
      <c r="E15" s="1"/>
      <c r="F15" s="1"/>
      <c r="G15" s="52"/>
      <c r="H15" s="1"/>
      <c r="I15" s="1"/>
    </row>
    <row r="16" spans="1:9" x14ac:dyDescent="0.25">
      <c r="A16" s="1"/>
      <c r="B16" s="115" t="s">
        <v>58</v>
      </c>
      <c r="C16" s="116"/>
      <c r="D16" s="116"/>
      <c r="E16" s="116"/>
      <c r="F16" s="116"/>
      <c r="G16" s="116"/>
      <c r="H16" s="117"/>
      <c r="I16" s="1"/>
    </row>
    <row r="17" spans="1:9" x14ac:dyDescent="0.25">
      <c r="A17" s="1"/>
      <c r="B17" s="118" t="s">
        <v>59</v>
      </c>
      <c r="C17" s="119"/>
      <c r="D17" s="119"/>
      <c r="E17" s="119"/>
      <c r="F17" s="120"/>
      <c r="G17" s="53">
        <f>(G11+G12-G13)*(1+'Fane 13. Nøgletal'!C11)</f>
        <v>14721794.626708437</v>
      </c>
      <c r="H17" s="14" t="s">
        <v>3</v>
      </c>
      <c r="I17" s="1"/>
    </row>
    <row r="18" spans="1:9" x14ac:dyDescent="0.25">
      <c r="A18" s="1"/>
      <c r="B18" s="118" t="s">
        <v>109</v>
      </c>
      <c r="C18" s="119"/>
      <c r="D18" s="119"/>
      <c r="E18" s="119"/>
      <c r="F18" s="120"/>
      <c r="G18" s="67">
        <v>91167.491271133622</v>
      </c>
      <c r="H18" s="14" t="s">
        <v>3</v>
      </c>
      <c r="I18" s="1"/>
    </row>
    <row r="19" spans="1:9" x14ac:dyDescent="0.25">
      <c r="A19" s="1"/>
      <c r="B19" s="121" t="s">
        <v>239</v>
      </c>
      <c r="C19" s="122"/>
      <c r="D19" s="122"/>
      <c r="E19" s="122"/>
      <c r="F19" s="123"/>
      <c r="G19" s="67">
        <v>6108.3436982699986</v>
      </c>
      <c r="H19" s="14" t="s">
        <v>3</v>
      </c>
      <c r="I19" s="1"/>
    </row>
    <row r="20" spans="1:9" x14ac:dyDescent="0.25">
      <c r="A20" s="1"/>
      <c r="B20" s="118" t="s">
        <v>60</v>
      </c>
      <c r="C20" s="119"/>
      <c r="D20" s="119"/>
      <c r="E20" s="119"/>
      <c r="F20" s="120"/>
      <c r="G20" s="53">
        <f>SUM(G17:G19)*'Fane 13. Nøgletal'!C23</f>
        <v>128925.91301659722</v>
      </c>
      <c r="H20" s="14" t="s">
        <v>3</v>
      </c>
      <c r="I20" s="1"/>
    </row>
    <row r="21" spans="1:9" x14ac:dyDescent="0.25">
      <c r="A21" s="1"/>
      <c r="B21" s="62"/>
      <c r="C21" s="63"/>
      <c r="D21" s="63"/>
      <c r="E21" s="63"/>
      <c r="F21" s="63"/>
      <c r="G21" s="54"/>
      <c r="H21" s="20"/>
      <c r="I21" s="1"/>
    </row>
    <row r="22" spans="1:9" x14ac:dyDescent="0.25">
      <c r="A22" s="1"/>
      <c r="B22" s="1"/>
      <c r="C22" s="1"/>
      <c r="D22" s="1"/>
      <c r="E22" s="1"/>
      <c r="F22" s="1"/>
      <c r="G22" s="52"/>
      <c r="H22" s="1"/>
      <c r="I22" s="1"/>
    </row>
    <row r="23" spans="1:9" x14ac:dyDescent="0.25">
      <c r="A23" s="1"/>
      <c r="B23" s="115" t="s">
        <v>61</v>
      </c>
      <c r="C23" s="116"/>
      <c r="D23" s="116"/>
      <c r="E23" s="116"/>
      <c r="F23" s="116"/>
      <c r="G23" s="116"/>
      <c r="H23" s="117"/>
      <c r="I23" s="1"/>
    </row>
    <row r="24" spans="1:9" x14ac:dyDescent="0.25">
      <c r="A24" s="1"/>
      <c r="B24" s="118" t="s">
        <v>62</v>
      </c>
      <c r="C24" s="119"/>
      <c r="D24" s="119"/>
      <c r="E24" s="119"/>
      <c r="F24" s="120"/>
      <c r="G24" s="53">
        <f>(G17+G18+G19-G20)*(1+'Fane 13. Nøgletal'!C11)</f>
        <v>14938407.991533618</v>
      </c>
      <c r="H24" s="14" t="s">
        <v>3</v>
      </c>
      <c r="I24" s="1"/>
    </row>
    <row r="25" spans="1:9" x14ac:dyDescent="0.25">
      <c r="A25" s="1"/>
      <c r="B25" s="121" t="s">
        <v>240</v>
      </c>
      <c r="C25" s="122"/>
      <c r="D25" s="122"/>
      <c r="E25" s="122"/>
      <c r="F25" s="123"/>
      <c r="G25" s="67">
        <v>0</v>
      </c>
      <c r="H25" s="14" t="s">
        <v>3</v>
      </c>
      <c r="I25" s="1"/>
    </row>
    <row r="26" spans="1:9" x14ac:dyDescent="0.25">
      <c r="A26" s="1"/>
      <c r="B26" s="118" t="s">
        <v>63</v>
      </c>
      <c r="C26" s="119"/>
      <c r="D26" s="119"/>
      <c r="E26" s="119"/>
      <c r="F26" s="120"/>
      <c r="G26" s="53">
        <f>G24*'Fane 13. Nøgletal'!C23+G25*'Fane 13. Nøgletal'!C24</f>
        <v>129964.14952634247</v>
      </c>
      <c r="H26" s="14" t="s">
        <v>3</v>
      </c>
      <c r="I26" s="1"/>
    </row>
    <row r="27" spans="1:9" x14ac:dyDescent="0.25">
      <c r="A27" s="1"/>
      <c r="B27" s="62"/>
      <c r="C27" s="63"/>
      <c r="D27" s="63"/>
      <c r="E27" s="63"/>
      <c r="F27" s="63"/>
      <c r="G27" s="54"/>
      <c r="H27" s="20"/>
      <c r="I27" s="1"/>
    </row>
    <row r="28" spans="1:9" x14ac:dyDescent="0.25">
      <c r="A28" s="1"/>
      <c r="B28" s="1"/>
      <c r="C28" s="1"/>
      <c r="D28" s="1"/>
      <c r="E28" s="1"/>
      <c r="F28" s="1"/>
      <c r="G28" s="52"/>
      <c r="H28" s="1"/>
      <c r="I28" s="1"/>
    </row>
    <row r="29" spans="1:9" x14ac:dyDescent="0.25">
      <c r="A29" s="1"/>
      <c r="B29" s="115" t="s">
        <v>64</v>
      </c>
      <c r="C29" s="116"/>
      <c r="D29" s="116"/>
      <c r="E29" s="116"/>
      <c r="F29" s="116"/>
      <c r="G29" s="116"/>
      <c r="H29" s="117"/>
      <c r="I29" s="1"/>
    </row>
    <row r="30" spans="1:9" x14ac:dyDescent="0.25">
      <c r="A30" s="1"/>
      <c r="B30" s="118" t="s">
        <v>65</v>
      </c>
      <c r="C30" s="119"/>
      <c r="D30" s="119"/>
      <c r="E30" s="119"/>
      <c r="F30" s="120"/>
      <c r="G30" s="53">
        <f>G24*(1-'Fane 13. Nøgletal'!C23)*(1+'Fane 13. Nøgletal'!C11)+G25*(1-'Fane 13. Nøgletal'!C24)*(1+'Fane 13. Nøgletal'!C12)</f>
        <v>15058706.542937197</v>
      </c>
      <c r="H30" s="14" t="s">
        <v>3</v>
      </c>
      <c r="I30" s="1"/>
    </row>
    <row r="31" spans="1:9" x14ac:dyDescent="0.25">
      <c r="A31" s="1"/>
      <c r="B31" s="124" t="s">
        <v>106</v>
      </c>
      <c r="C31" s="125"/>
      <c r="D31" s="125"/>
      <c r="E31" s="125"/>
      <c r="F31" s="126"/>
      <c r="G31" s="67">
        <f>G25*(1-'Fane 13. Nøgletal'!C24)*(1+'Fane 13. Nøgletal'!C12)</f>
        <v>0</v>
      </c>
      <c r="H31" s="14" t="s">
        <v>3</v>
      </c>
      <c r="I31" s="1"/>
    </row>
    <row r="32" spans="1:9" x14ac:dyDescent="0.25">
      <c r="A32" s="1"/>
      <c r="B32" s="118" t="s">
        <v>241</v>
      </c>
      <c r="C32" s="119"/>
      <c r="D32" s="119"/>
      <c r="E32" s="119"/>
      <c r="F32" s="120"/>
      <c r="G32" s="67">
        <v>233427.06041256001</v>
      </c>
      <c r="H32" s="14" t="s">
        <v>3</v>
      </c>
      <c r="I32" s="1"/>
    </row>
    <row r="33" spans="1:9" x14ac:dyDescent="0.25">
      <c r="A33" s="1"/>
      <c r="B33" s="118" t="s">
        <v>66</v>
      </c>
      <c r="C33" s="119"/>
      <c r="D33" s="119"/>
      <c r="E33" s="119"/>
      <c r="F33" s="120"/>
      <c r="G33" s="53">
        <f>(G30-G31)*'Fane 13. Nøgletal'!C23+G31*'Fane 13. Nøgletal'!C24+G32*'Fane 13. Nøgletal'!C25</f>
        <v>137429.991084899</v>
      </c>
      <c r="H33" s="14" t="s">
        <v>3</v>
      </c>
      <c r="I33" s="1"/>
    </row>
    <row r="34" spans="1:9" x14ac:dyDescent="0.25">
      <c r="A34" s="1"/>
      <c r="B34" s="62"/>
      <c r="C34" s="63"/>
      <c r="D34" s="63"/>
      <c r="E34" s="63"/>
      <c r="F34" s="63"/>
      <c r="G34" s="54"/>
      <c r="H34" s="20"/>
      <c r="I34" s="1"/>
    </row>
    <row r="35" spans="1:9" x14ac:dyDescent="0.25">
      <c r="A35" s="1"/>
      <c r="B35" s="1"/>
      <c r="C35" s="1"/>
      <c r="D35" s="1"/>
      <c r="E35" s="1"/>
      <c r="F35" s="1"/>
      <c r="G35" s="52"/>
      <c r="H35" s="1"/>
      <c r="I35" s="1"/>
    </row>
    <row r="36" spans="1:9" x14ac:dyDescent="0.25">
      <c r="A36" s="1"/>
      <c r="B36" s="115" t="s">
        <v>88</v>
      </c>
      <c r="C36" s="116"/>
      <c r="D36" s="116"/>
      <c r="E36" s="116"/>
      <c r="F36" s="116"/>
      <c r="G36" s="116"/>
      <c r="H36" s="117"/>
      <c r="I36" s="1"/>
    </row>
    <row r="37" spans="1:9" x14ac:dyDescent="0.25">
      <c r="A37" s="1"/>
      <c r="B37" s="118" t="s">
        <v>69</v>
      </c>
      <c r="C37" s="119"/>
      <c r="D37" s="119"/>
      <c r="E37" s="119"/>
      <c r="F37" s="120"/>
      <c r="G37" s="53">
        <f>(G30-G31)*(1-'Fane 13. Nøgletal'!C23)*(1+'Fane 13. Nøgletal'!C11)+G31*(1-'Fane 13. Nøgletal'!C24)*(1+'Fane 13. Nøgletal'!C12)+G32*(1-'Fane 13. Nøgletal'!C25)*(1+'Fane 13. Nøgletal'!C13)</f>
        <v>15409751.16657575</v>
      </c>
      <c r="H37" s="14" t="s">
        <v>3</v>
      </c>
      <c r="I37" s="1"/>
    </row>
    <row r="38" spans="1:9" x14ac:dyDescent="0.25">
      <c r="A38" s="1"/>
      <c r="B38" s="124" t="s">
        <v>106</v>
      </c>
      <c r="C38" s="125"/>
      <c r="D38" s="125"/>
      <c r="E38" s="125"/>
      <c r="F38" s="126"/>
      <c r="G38" s="67">
        <f>G31*(1-'Fane 13. Nøgletal'!C24)*(1+'Fane 13. Nøgletal'!C12)</f>
        <v>0</v>
      </c>
      <c r="H38" s="14" t="s">
        <v>3</v>
      </c>
      <c r="I38" s="1"/>
    </row>
    <row r="39" spans="1:9" x14ac:dyDescent="0.25">
      <c r="A39" s="1"/>
      <c r="B39" s="124" t="s">
        <v>123</v>
      </c>
      <c r="C39" s="125"/>
      <c r="D39" s="125"/>
      <c r="E39" s="125"/>
      <c r="F39" s="126"/>
      <c r="G39" s="67">
        <v>229777.31160947939</v>
      </c>
      <c r="H39" s="14" t="s">
        <v>3</v>
      </c>
      <c r="I39" s="1"/>
    </row>
    <row r="40" spans="1:9" x14ac:dyDescent="0.25">
      <c r="A40" s="1"/>
      <c r="B40" s="118" t="s">
        <v>242</v>
      </c>
      <c r="C40" s="119"/>
      <c r="D40" s="119"/>
      <c r="E40" s="119"/>
      <c r="F40" s="120"/>
      <c r="G40" s="67">
        <v>36372.877899260006</v>
      </c>
      <c r="H40" s="14" t="s">
        <v>3</v>
      </c>
      <c r="I40" s="1"/>
    </row>
    <row r="41" spans="1:9" x14ac:dyDescent="0.25">
      <c r="A41" s="1"/>
      <c r="B41" s="118" t="s">
        <v>127</v>
      </c>
      <c r="C41" s="119"/>
      <c r="D41" s="119"/>
      <c r="E41" s="119"/>
      <c r="F41" s="120"/>
      <c r="G41" s="53">
        <f>(G37-SUM(G38:G39))*'Fane 13. Nøgletal'!C23+G38*'Fane 13. Nøgletal'!C24+(G39)*'Fane 13. Nøgletal'!C25+(G40)*'Fane 13. Nøgletal'!C26</f>
        <v>138922.96720037627</v>
      </c>
      <c r="H41" s="14" t="s">
        <v>3</v>
      </c>
      <c r="I41" s="1"/>
    </row>
    <row r="42" spans="1:9" x14ac:dyDescent="0.25">
      <c r="A42" s="1"/>
      <c r="B42" s="62"/>
      <c r="C42" s="63"/>
      <c r="D42" s="63"/>
      <c r="E42" s="63"/>
      <c r="F42" s="63"/>
      <c r="G42" s="54"/>
      <c r="H42" s="20"/>
      <c r="I42" s="1"/>
    </row>
    <row r="43" spans="1:9" x14ac:dyDescent="0.25">
      <c r="A43" s="1"/>
      <c r="B43" s="1"/>
      <c r="C43" s="1"/>
      <c r="D43" s="1"/>
      <c r="E43" s="1"/>
      <c r="F43" s="1"/>
      <c r="G43" s="52"/>
      <c r="H43" s="1"/>
      <c r="I43" s="1"/>
    </row>
    <row r="44" spans="1:9" x14ac:dyDescent="0.25">
      <c r="A44" s="1"/>
      <c r="B44" s="115" t="s">
        <v>167</v>
      </c>
      <c r="C44" s="116"/>
      <c r="D44" s="116"/>
      <c r="E44" s="116"/>
      <c r="F44" s="116"/>
      <c r="G44" s="116"/>
      <c r="H44" s="117"/>
      <c r="I44" s="1"/>
    </row>
    <row r="45" spans="1:9" x14ac:dyDescent="0.25">
      <c r="A45" s="1"/>
      <c r="B45" s="118" t="s">
        <v>68</v>
      </c>
      <c r="C45" s="119"/>
      <c r="D45" s="119"/>
      <c r="E45" s="119"/>
      <c r="F45" s="120"/>
      <c r="G45" s="53">
        <f>(G37+G40-G41)*(1+'Fane 13. Nøgletal'!C15)</f>
        <v>15852137.435625611</v>
      </c>
      <c r="H45" s="14" t="s">
        <v>3</v>
      </c>
      <c r="I45" s="1"/>
    </row>
    <row r="46" spans="1:9" x14ac:dyDescent="0.25">
      <c r="A46" s="1"/>
      <c r="B46" s="78" t="s">
        <v>174</v>
      </c>
      <c r="C46" s="79"/>
      <c r="D46" s="79"/>
      <c r="E46" s="79"/>
      <c r="F46" s="80"/>
      <c r="G46" s="58">
        <v>116721.98512560003</v>
      </c>
      <c r="H46" s="14" t="s">
        <v>3</v>
      </c>
      <c r="I46" s="1"/>
    </row>
    <row r="47" spans="1:9" x14ac:dyDescent="0.25">
      <c r="A47" s="1"/>
      <c r="B47" s="118" t="s">
        <v>67</v>
      </c>
      <c r="C47" s="119"/>
      <c r="D47" s="119"/>
      <c r="E47" s="119"/>
      <c r="F47" s="120"/>
      <c r="G47" s="67">
        <f>(G45+G46)*'Fane 13. Nøgletal'!C27</f>
        <v>0</v>
      </c>
      <c r="H47" s="14" t="s">
        <v>3</v>
      </c>
      <c r="I47" s="1"/>
    </row>
    <row r="48" spans="1:9" x14ac:dyDescent="0.25">
      <c r="A48" s="1"/>
      <c r="B48" s="62"/>
      <c r="C48" s="63"/>
      <c r="D48" s="63"/>
      <c r="E48" s="63"/>
      <c r="F48" s="63"/>
      <c r="G48" s="54"/>
      <c r="H48" s="20"/>
      <c r="I48" s="1"/>
    </row>
    <row r="49" spans="1:9" x14ac:dyDescent="0.25">
      <c r="A49" s="1"/>
      <c r="B49" s="1"/>
      <c r="C49" s="1"/>
      <c r="D49" s="1"/>
      <c r="E49" s="1"/>
      <c r="F49" s="1"/>
      <c r="G49" s="52"/>
      <c r="H49" s="1"/>
      <c r="I49" s="1"/>
    </row>
    <row r="50" spans="1:9" x14ac:dyDescent="0.25">
      <c r="A50" s="1"/>
      <c r="B50" s="1"/>
      <c r="C50" s="1"/>
      <c r="D50" s="1"/>
      <c r="E50" s="1"/>
      <c r="F50" s="1"/>
      <c r="G50" s="52"/>
      <c r="H50" s="1"/>
      <c r="I50" s="1"/>
    </row>
    <row r="51" spans="1:9" x14ac:dyDescent="0.25">
      <c r="A51" s="1"/>
      <c r="B51" s="115" t="s">
        <v>168</v>
      </c>
      <c r="C51" s="116"/>
      <c r="D51" s="116"/>
      <c r="E51" s="116"/>
      <c r="F51" s="116"/>
      <c r="G51" s="116"/>
      <c r="H51" s="117"/>
      <c r="I51" s="1"/>
    </row>
    <row r="52" spans="1:9" x14ac:dyDescent="0.25">
      <c r="A52" s="1"/>
      <c r="B52" s="118" t="s">
        <v>124</v>
      </c>
      <c r="C52" s="119"/>
      <c r="D52" s="119"/>
      <c r="E52" s="119"/>
      <c r="F52" s="120"/>
      <c r="G52" s="53">
        <f>(G45+G46-G47)*(1+'Fane 13. Nøgletal'!C15)</f>
        <v>16537350.816129955</v>
      </c>
      <c r="H52" s="14" t="s">
        <v>3</v>
      </c>
      <c r="I52" s="1"/>
    </row>
    <row r="53" spans="1:9" x14ac:dyDescent="0.25">
      <c r="A53" s="1"/>
      <c r="B53" s="78" t="s">
        <v>230</v>
      </c>
      <c r="C53" s="79"/>
      <c r="D53" s="79"/>
      <c r="E53" s="79"/>
      <c r="F53" s="80"/>
      <c r="G53" s="67">
        <v>0</v>
      </c>
      <c r="H53" s="14" t="s">
        <v>3</v>
      </c>
      <c r="I53" s="1"/>
    </row>
    <row r="54" spans="1:9" x14ac:dyDescent="0.25">
      <c r="A54" s="1"/>
      <c r="B54" s="118" t="s">
        <v>125</v>
      </c>
      <c r="C54" s="119"/>
      <c r="D54" s="119"/>
      <c r="E54" s="119"/>
      <c r="F54" s="120"/>
      <c r="G54" s="67">
        <f>(G52)*'Fane 13. Nøgletal'!C27+G53*'Fane 13. Nøgletal'!C28</f>
        <v>0</v>
      </c>
      <c r="H54" s="14" t="s">
        <v>3</v>
      </c>
      <c r="I54" s="1"/>
    </row>
    <row r="55" spans="1:9" x14ac:dyDescent="0.25">
      <c r="A55" s="1"/>
      <c r="B55" s="62"/>
      <c r="C55" s="63"/>
      <c r="D55" s="63"/>
      <c r="E55" s="63"/>
      <c r="F55" s="63"/>
      <c r="G55" s="54"/>
      <c r="H55" s="20"/>
      <c r="I55" s="1"/>
    </row>
    <row r="56" spans="1:9" x14ac:dyDescent="0.25">
      <c r="A56" s="1"/>
      <c r="B56" s="1"/>
      <c r="C56" s="1"/>
      <c r="D56" s="1"/>
      <c r="E56" s="1"/>
      <c r="F56" s="1"/>
      <c r="G56" s="52"/>
      <c r="H56" s="1"/>
      <c r="I56" s="1"/>
    </row>
    <row r="57" spans="1:9" x14ac:dyDescent="0.25">
      <c r="A57" s="1"/>
      <c r="B57" s="115" t="s">
        <v>135</v>
      </c>
      <c r="C57" s="116"/>
      <c r="D57" s="116"/>
      <c r="E57" s="116"/>
      <c r="F57" s="116"/>
      <c r="G57" s="116"/>
      <c r="H57" s="117"/>
      <c r="I57" s="1"/>
    </row>
    <row r="58" spans="1:9" x14ac:dyDescent="0.25">
      <c r="A58" s="1"/>
      <c r="B58" s="118" t="s">
        <v>136</v>
      </c>
      <c r="C58" s="119"/>
      <c r="D58" s="119"/>
      <c r="E58" s="119"/>
      <c r="F58" s="120"/>
      <c r="G58" s="53">
        <f>(G52+G53-G54)*(1+'Fane 13. Nøgletal'!C16)</f>
        <v>17873568.762073256</v>
      </c>
      <c r="H58" s="14" t="s">
        <v>3</v>
      </c>
      <c r="I58" s="1"/>
    </row>
    <row r="59" spans="1:9" x14ac:dyDescent="0.25">
      <c r="A59" s="1"/>
      <c r="B59" s="118" t="s">
        <v>137</v>
      </c>
      <c r="C59" s="119"/>
      <c r="D59" s="119"/>
      <c r="E59" s="119"/>
      <c r="F59" s="120"/>
      <c r="G59" s="67">
        <f>(G58)*'Fane 13. Nøgletal'!C28</f>
        <v>0</v>
      </c>
      <c r="H59" s="14" t="s">
        <v>3</v>
      </c>
      <c r="I59" s="1"/>
    </row>
    <row r="60" spans="1:9" x14ac:dyDescent="0.25">
      <c r="A60" s="1"/>
      <c r="B60" s="62"/>
      <c r="C60" s="63"/>
      <c r="D60" s="63"/>
      <c r="E60" s="63"/>
      <c r="F60" s="63"/>
      <c r="G60" s="54"/>
      <c r="H60" s="20"/>
      <c r="I60" s="1"/>
    </row>
    <row r="61" spans="1:9" x14ac:dyDescent="0.25">
      <c r="A61" s="1"/>
      <c r="B61" s="1"/>
      <c r="C61" s="1"/>
      <c r="D61" s="1"/>
      <c r="E61" s="1"/>
      <c r="F61" s="1"/>
      <c r="G61" s="52"/>
      <c r="H61" s="1"/>
      <c r="I61" s="1"/>
    </row>
    <row r="62" spans="1:9" x14ac:dyDescent="0.25">
      <c r="A62" s="1"/>
      <c r="B62" s="115" t="s">
        <v>154</v>
      </c>
      <c r="C62" s="116"/>
      <c r="D62" s="116"/>
      <c r="E62" s="116"/>
      <c r="F62" s="116"/>
      <c r="G62" s="116"/>
      <c r="H62" s="117"/>
      <c r="I62" s="1"/>
    </row>
    <row r="63" spans="1:9" x14ac:dyDescent="0.25">
      <c r="A63" s="1"/>
      <c r="B63" s="118" t="s">
        <v>155</v>
      </c>
      <c r="C63" s="119"/>
      <c r="D63" s="119"/>
      <c r="E63" s="119"/>
      <c r="F63" s="120"/>
      <c r="G63" s="53">
        <f>(G58-G59)*(1+'Fane 13. Nøgletal'!C16)</f>
        <v>19317753.118048776</v>
      </c>
      <c r="H63" s="14" t="s">
        <v>3</v>
      </c>
      <c r="I63" s="1"/>
    </row>
    <row r="64" spans="1:9" x14ac:dyDescent="0.25">
      <c r="A64" s="1"/>
      <c r="B64" s="118" t="s">
        <v>156</v>
      </c>
      <c r="C64" s="119"/>
      <c r="D64" s="119"/>
      <c r="E64" s="119"/>
      <c r="F64" s="120"/>
      <c r="G64" s="67">
        <f>(G63)*'Fane 13. Nøgletal'!C28</f>
        <v>0</v>
      </c>
      <c r="H64" s="14" t="s">
        <v>3</v>
      </c>
      <c r="I64" s="1"/>
    </row>
    <row r="65" spans="1:9" x14ac:dyDescent="0.25">
      <c r="A65" s="1"/>
      <c r="B65" s="62"/>
      <c r="C65" s="63"/>
      <c r="D65" s="63"/>
      <c r="E65" s="63"/>
      <c r="F65" s="63"/>
      <c r="G65" s="54"/>
      <c r="H65" s="20"/>
      <c r="I65" s="1"/>
    </row>
    <row r="66" spans="1:9" x14ac:dyDescent="0.25">
      <c r="A66" s="1"/>
      <c r="B66" s="1"/>
      <c r="C66" s="1"/>
      <c r="D66" s="1"/>
      <c r="E66" s="1"/>
      <c r="F66" s="1"/>
      <c r="G66" s="52"/>
      <c r="H66" s="1"/>
      <c r="I66" s="1"/>
    </row>
    <row r="67" spans="1:9" x14ac:dyDescent="0.25">
      <c r="A67" s="1"/>
      <c r="B67" s="115" t="s">
        <v>215</v>
      </c>
      <c r="C67" s="116"/>
      <c r="D67" s="116"/>
      <c r="E67" s="116"/>
      <c r="F67" s="116"/>
      <c r="G67" s="116"/>
      <c r="H67" s="117"/>
      <c r="I67" s="1"/>
    </row>
    <row r="68" spans="1:9" x14ac:dyDescent="0.25">
      <c r="A68" s="1"/>
      <c r="B68" s="118" t="s">
        <v>216</v>
      </c>
      <c r="C68" s="119"/>
      <c r="D68" s="119"/>
      <c r="E68" s="119"/>
      <c r="F68" s="120"/>
      <c r="G68" s="53">
        <f>(G63-G64)*(1+'Fane 13. Nøgletal'!C16)</f>
        <v>20878627.569987118</v>
      </c>
      <c r="H68" s="14" t="s">
        <v>3</v>
      </c>
      <c r="I68" s="1"/>
    </row>
    <row r="69" spans="1:9" x14ac:dyDescent="0.25">
      <c r="A69" s="1"/>
      <c r="B69" s="118" t="s">
        <v>217</v>
      </c>
      <c r="C69" s="119"/>
      <c r="D69" s="119"/>
      <c r="E69" s="119"/>
      <c r="F69" s="120"/>
      <c r="G69" s="67">
        <f>(G68)*'Fane 13. Nøgletal'!C28</f>
        <v>0</v>
      </c>
      <c r="H69" s="14" t="s">
        <v>3</v>
      </c>
      <c r="I69" s="1"/>
    </row>
    <row r="70" spans="1:9" x14ac:dyDescent="0.25">
      <c r="A70" s="1"/>
      <c r="B70" s="62"/>
      <c r="C70" s="63"/>
      <c r="D70" s="63"/>
      <c r="E70" s="63"/>
      <c r="F70" s="63"/>
      <c r="G70" s="54"/>
      <c r="H70" s="20"/>
      <c r="I70" s="1"/>
    </row>
    <row r="71" spans="1:9" x14ac:dyDescent="0.25">
      <c r="A71" s="1"/>
      <c r="B71" s="1"/>
      <c r="C71" s="1"/>
      <c r="D71" s="1"/>
      <c r="E71" s="1"/>
      <c r="F71" s="1"/>
      <c r="G71" s="52"/>
      <c r="H71" s="1"/>
      <c r="I71" s="1"/>
    </row>
    <row r="72" spans="1:9" x14ac:dyDescent="0.25">
      <c r="A72" s="1"/>
      <c r="B72" s="1"/>
      <c r="C72" s="1"/>
      <c r="D72" s="1"/>
      <c r="E72" s="1"/>
      <c r="F72" s="1"/>
      <c r="G72" s="52"/>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sheetData>
  <sheetProtection algorithmName="SHA-512" hashValue="J/CC9R9frbVuozR1GUkgIjY3uS5wVrPlmzZ9pEjSpqzQmmbt1kk+0hosVTM7KyjXShM7y/Pmbn2U5v7UXzZMng==" saltValue="oXl6sRidJcSPmcmjaHCxsg==" spinCount="100000" sheet="1" objects="1" scenarios="1"/>
  <mergeCells count="43">
    <mergeCell ref="B67:H67"/>
    <mergeCell ref="B68:F68"/>
    <mergeCell ref="B69:F69"/>
    <mergeCell ref="B59:F59"/>
    <mergeCell ref="B58:F58"/>
    <mergeCell ref="B62:H62"/>
    <mergeCell ref="B63:F63"/>
    <mergeCell ref="B64:F64"/>
    <mergeCell ref="B24:F24"/>
    <mergeCell ref="B19:F19"/>
    <mergeCell ref="B57:H57"/>
    <mergeCell ref="B54:F54"/>
    <mergeCell ref="B25:F25"/>
    <mergeCell ref="B26:F26"/>
    <mergeCell ref="B41:F41"/>
    <mergeCell ref="B44:H44"/>
    <mergeCell ref="B45:F45"/>
    <mergeCell ref="B29:H29"/>
    <mergeCell ref="B30:F30"/>
    <mergeCell ref="B33:F33"/>
    <mergeCell ref="B36:H36"/>
    <mergeCell ref="B38:F38"/>
    <mergeCell ref="B12:F12"/>
    <mergeCell ref="B13:F13"/>
    <mergeCell ref="B16:H16"/>
    <mergeCell ref="B17:F17"/>
    <mergeCell ref="B18:F18"/>
    <mergeCell ref="B2:H3"/>
    <mergeCell ref="B32:F32"/>
    <mergeCell ref="B23:H23"/>
    <mergeCell ref="B40:F40"/>
    <mergeCell ref="B52:F52"/>
    <mergeCell ref="B31:F31"/>
    <mergeCell ref="B39:F39"/>
    <mergeCell ref="B37:F37"/>
    <mergeCell ref="B51:H51"/>
    <mergeCell ref="B47:F47"/>
    <mergeCell ref="B20:F20"/>
    <mergeCell ref="B5:H5"/>
    <mergeCell ref="B6:F6"/>
    <mergeCell ref="B7:F7"/>
    <mergeCell ref="B10:H10"/>
    <mergeCell ref="B11:F1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1" t="s">
        <v>79</v>
      </c>
      <c r="C3" s="111"/>
      <c r="D3" s="111"/>
      <c r="E3" s="111"/>
      <c r="F3" s="111"/>
      <c r="G3" s="111"/>
      <c r="H3" s="1"/>
    </row>
    <row r="4" spans="1:8" ht="15" customHeight="1" x14ac:dyDescent="0.25">
      <c r="A4" s="1"/>
      <c r="B4" s="111"/>
      <c r="C4" s="111"/>
      <c r="D4" s="111"/>
      <c r="E4" s="111"/>
      <c r="F4" s="111"/>
      <c r="G4" s="11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5" t="s">
        <v>9</v>
      </c>
      <c r="C8" s="116"/>
      <c r="D8" s="116"/>
      <c r="E8" s="116"/>
      <c r="F8" s="116"/>
      <c r="G8" s="117"/>
      <c r="H8" s="1"/>
    </row>
    <row r="9" spans="1:8" x14ac:dyDescent="0.25">
      <c r="A9" s="1"/>
      <c r="B9" s="78" t="s">
        <v>243</v>
      </c>
      <c r="C9" s="79"/>
      <c r="D9" s="79"/>
      <c r="E9" s="79"/>
      <c r="F9" s="80"/>
      <c r="G9" s="59">
        <v>0</v>
      </c>
      <c r="H9" s="1"/>
    </row>
    <row r="10" spans="1:8" x14ac:dyDescent="0.25">
      <c r="A10" s="1"/>
      <c r="B10" s="62"/>
      <c r="C10" s="63"/>
      <c r="D10" s="63"/>
      <c r="E10" s="63"/>
      <c r="F10" s="63"/>
      <c r="G10" s="20"/>
      <c r="H10" s="1"/>
    </row>
    <row r="11" spans="1:8" x14ac:dyDescent="0.25">
      <c r="A11" s="1"/>
      <c r="B11" s="127" t="s">
        <v>246</v>
      </c>
      <c r="C11" s="128"/>
      <c r="D11" s="128"/>
      <c r="E11" s="128"/>
      <c r="F11" s="128"/>
      <c r="G11" s="129"/>
      <c r="H11" s="1"/>
    </row>
    <row r="12" spans="1:8" ht="15" customHeight="1" x14ac:dyDescent="0.25">
      <c r="A12" s="18"/>
      <c r="B12" s="130"/>
      <c r="C12" s="131"/>
      <c r="D12" s="131"/>
      <c r="E12" s="131"/>
      <c r="F12" s="131"/>
      <c r="G12" s="132"/>
      <c r="H12" s="18"/>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EE2DXVTfS6VPCr1+HLjM6hZYCsrhX+4gRdLYkhsKrmw82rTYa30c9KZqSe21m4ZL2oer6CP+5SLLuw1OS7HuNA==" saltValue="o3zE/3XDCXjPmVJMm8iaaQ==" spinCount="100000" sheet="1" objects="1" scenarios="1"/>
  <mergeCells count="3">
    <mergeCell ref="B3:G4"/>
    <mergeCell ref="B8:G8"/>
    <mergeCell ref="B11:G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8</vt:i4>
      </vt:variant>
    </vt:vector>
  </HeadingPairs>
  <TitlesOfParts>
    <vt:vector size="26"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2023-10-13T09:11:39Z</dcterms:modified>
</cp:coreProperties>
</file>