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havn Vand AS (V05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11" l="1"/>
  <c r="E11" i="11"/>
  <c r="E12" i="11"/>
  <c r="E13" i="11"/>
  <c r="C17" i="19" l="1"/>
  <c r="E33" i="32" l="1"/>
  <c r="E39" i="32" s="1"/>
  <c r="E41" i="32" s="1"/>
  <c r="E16" i="27" l="1"/>
  <c r="E14" i="11" l="1"/>
  <c r="E15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6" i="39"/>
  <c r="E37" i="39" s="1"/>
  <c r="C36" i="39"/>
  <c r="C37" i="39" s="1"/>
  <c r="E28" i="39"/>
  <c r="E29" i="39" s="1"/>
  <c r="C28" i="39"/>
  <c r="C29" i="39" s="1"/>
  <c r="E20" i="39"/>
  <c r="E21" i="39" s="1"/>
  <c r="C20" i="39"/>
  <c r="C21" i="39" s="1"/>
  <c r="E12" i="39"/>
  <c r="E13" i="39" s="1"/>
  <c r="C12" i="39"/>
  <c r="C13" i="39" s="1"/>
  <c r="C14" i="39" l="1"/>
  <c r="C30" i="39"/>
  <c r="C22" i="39"/>
  <c r="E14" i="39"/>
  <c r="E30" i="39"/>
  <c r="C38" i="39"/>
  <c r="E22" i="39"/>
  <c r="E38" i="39"/>
  <c r="E39" i="39" l="1"/>
  <c r="C20" i="23" s="1"/>
  <c r="C39" i="39"/>
  <c r="C19" i="23" s="1"/>
  <c r="E15" i="39"/>
  <c r="C26" i="2" s="1"/>
  <c r="C31" i="39"/>
  <c r="C19" i="22" s="1"/>
  <c r="E23" i="39"/>
  <c r="C21" i="15" s="1"/>
  <c r="E31" i="39"/>
  <c r="C20" i="22" s="1"/>
  <c r="C23" i="39"/>
  <c r="C20" i="15" s="1"/>
  <c r="C15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6" i="11"/>
  <c r="C10" i="37" s="1"/>
  <c r="C14" i="37" s="1"/>
  <c r="G16" i="11"/>
  <c r="C15" i="37" l="1"/>
  <c r="C11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0" i="37"/>
  <c r="E14" i="37" s="1"/>
  <c r="G35" i="30" l="1"/>
  <c r="G37" i="30" s="1"/>
  <c r="C19" i="2"/>
  <c r="E15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<sst xmlns="http://schemas.openxmlformats.org/spreadsheetml/2006/main" count="625" uniqueCount="261">
  <si>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</si>
  <si>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</si>
  <si>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</si>
  <si>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</si>
  <si>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</si>
  <si>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</si>
  <si>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</si>
  <si>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</si>
  <si>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</si>
  <si>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</si>
  <si>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</si>
  <si>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</si>
  <si>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</si>
  <si>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</si>
  <si>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</si>
  <si>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</si>
  <si>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</si>
  <si>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</si>
  <si>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</si>
  <si>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</si>
  <si>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</si>
  <si>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</si>
  <si>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</si>
  <si>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</si>
  <si>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</si>
  <si>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</si>
  <si>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</si>
  <si>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</si>
  <si>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</si>
  <si>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</si>
  <si>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</si>
  <si>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</si>
  <si>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</si>
  <si>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</si>
  <si>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</si>
  <si>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</si>
  <si>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</si>
  <si>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</si>
  <si>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</si>
  <si>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</si>
  <si>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</si>
  <si>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</si>
  <si>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</si>
  <si>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</si>
  <si>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</si>
  <si>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</si>
  <si>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</si>
  <si>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</si>
  <si>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</si>
  <si>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</si>
  <si>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</si>
  <si>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</si>
  <si>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</si>
  <si>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</si>
  <si>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</si>
  <si>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</si>
  <si>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</si>
  <si>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</si>
  <si>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</si>
  <si>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</si>
  <si>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</si>
  <si>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</si>
  <si>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</si>
  <si>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</si>
  <si>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</si>
  <si>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</si>
  <si>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</si>
  <si>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</si>
  <si>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</si>
  <si>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</si>
  <si>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</si>
  <si>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</si>
  <si>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</si>
  <si>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</si>
  <si>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</si>
  <si>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</si>
  <si>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</si>
  <si>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</si>
  <si>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</si>
  <si>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</si>
  <si>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</si>
  <si>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</si>
  <si>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</si>
  <si>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</si>
  <si>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</si>
  <si>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</si>
  <si>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</si>
  <si>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</si>
  <si>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</si>
  <si>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</si>
  <si>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</si>
  <si>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</si>
  <si>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</si>
  <si>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</si>
  <si>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</si>
  <si>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</si>
  <si>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</si>
  <si>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</si>
  <si>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</si>
  <si>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</si>
  <si>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</si>
  <si>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</si>
  <si>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</si>
  <si>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</si>
  <si>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</si>
  <si>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</si>
  <si>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</si>
  <si>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</si>
  <si>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</si>
  <si>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</si>
  <si>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</si>
  <si>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</si>
  <si>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</si>
  <si>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</si>
  <si>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</si>
  <si>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</si>
  <si>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</si>
  <si>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</si>
  <si>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</si>
  <si>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</si>
  <si>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</si>
  <si>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</si>
  <si>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</si>
  <si>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</si>
  <si>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</si>
  <si>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</si>
  <si>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</si>
  <si>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</si>
  <si>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</si>
  <si>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</si>
  <si>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</si>
  <si>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</si>
  <si>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</si>
  <si>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</si>
  <si>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</si>
  <si>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</si>
  <si>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</si>
  <si>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</si>
  <si>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</si>
  <si>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</si>
  <si>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</si>
  <si>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</si>
  <si>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</si>
  <si>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</si>
  <si>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</si>
  <si>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</si>
  <si>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</si>
  <si>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</si>
  <si>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</si>
  <si>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</si>
  <si>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</si>
  <si>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</si>
  <si>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</si>
  <si>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</si>
  <si>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</si>
  <si>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</si>
  <si>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</si>
  <si>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</si>
  <si>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</si>
  <si>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</si>
  <si>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</si>
  <si>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</si>
  <si>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</si>
  <si>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</si>
  <si>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</si>
  <si>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</si>
  <si>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</si>
  <si>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</si>
  <si>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</si>
  <si>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</si>
  <si>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</si>
  <si>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</si>
  <si>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</si>
  <si>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</si>
  <si>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</si>
  <si>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</si>
  <si>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</si>
  <si>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</si>
  <si>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</si>
  <si>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</si>
  <si>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</si>
  <si>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</si>
  <si>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</si>
  <si>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</si>
  <si>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</si>
  <si>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</si>
  <si>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</si>
  <si>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</si>
  <si>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</si>
  <si>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</si>
  <si>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</si>
  <si>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</si>
  <si>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</si>
  <si>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</si>
  <si>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</si>
  <si>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</si>
  <si>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</si>
  <si>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</si>
  <si>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</si>
  <si>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</si>
  <si>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</si>
  <si>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</si>
  <si>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</si>
  <si>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</si>
  <si>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</si>
  <si>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</si>
  <si>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</si>
  <si>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</si>
  <si>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</si>
  <si>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</si>
  <si>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</si>
  <si>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</si>
  <si>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</si>
  <si>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</si>
  <si>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</si>
  <si>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</si>
  <si>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</si>
  <si>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</si>
  <si>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</si>
  <si>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</si>
  <si>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</si>
  <si>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</si>
  <si>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</si>
  <si>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</si>
  <si>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</si>
  <si>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</si>
  <si>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</si>
  <si>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</si>
  <si>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</si>
  <si>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</si>
  <si>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</si>
  <si>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</si>
  <si>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</si>
  <si>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</si>
  <si>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</si>
  <si>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</si>
  <si>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</si>
  <si>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</si>
  <si>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</si>
  <si>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Frivillige aftaler om dyrkningspraksis eller andre restriktioner i arealanvendelse</t>
  </si>
  <si>
    <t>Ingen tilknyttet virksomhed</t>
  </si>
  <si>
    <t>Ingen bortfald eller nedsættelse</t>
  </si>
  <si>
    <t>Byggemodninger og nye kunder</t>
  </si>
  <si>
    <t>Nye krav til kontrol og indberetning</t>
  </si>
  <si>
    <t>Indvindingstilladelser</t>
  </si>
  <si>
    <t>Byggemodninger om nye kunder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</si>
  <si>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</si>
  <si>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</si>
  <si>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</si>
  <si>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</si>
  <si>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</si>
  <si>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</si>
  <si>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Ø 250 mm &lt; Ledningsnet ≤ Ø 500mm</t>
  </si>
  <si>
    <t>75</t>
  </si>
  <si>
    <t>Ø 50mm &lt; Ledningsnet ≤ Ø110 mm</t>
  </si>
  <si>
    <t>Ø110 mm &lt; Ledningsnet ≤ Ø 250 mm</t>
  </si>
  <si>
    <t>Ventiler på ledningsnet ≤ Ø50 mm</t>
  </si>
  <si>
    <t>Ventiler på Ø 50mm &lt; Ledningsnet ≤ Ø110 mm</t>
  </si>
  <si>
    <t>Ventiler på Ø110 mm &lt; Ledningsnet ≤ Ø 250 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</si>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</sst>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0" t="s">
        <v>206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151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15</v>
      </c>
      <c r="D14" s="65" t="s">
        <v>207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40</v>
      </c>
      <c r="D15" s="65" t="s">
        <v>93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41</v>
      </c>
      <c r="D16" s="65" t="s">
        <v>152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150</v>
      </c>
      <c r="D17" s="65" t="s">
        <v>153</v>
      </c>
      <c r="E17" s="66"/>
      <c r="F17" s="66"/>
      <c r="G17" s="67"/>
      <c r="H17" s="1"/>
      <c r="I17" s="1"/>
    </row>
    <row r="18" spans="1:9" x14ac:dyDescent="0.25">
      <c r="A18" s="1"/>
      <c r="B18" s="1"/>
      <c r="C18" s="33" t="s">
        <v>134</v>
      </c>
      <c r="D18" s="71" t="s">
        <v>114</v>
      </c>
      <c r="E18" s="72"/>
      <c r="F18" s="72"/>
      <c r="G18" s="73"/>
      <c r="H18" s="1"/>
      <c r="I18" s="1"/>
    </row>
    <row r="19" spans="1:9" x14ac:dyDescent="0.25">
      <c r="A19" s="1"/>
      <c r="B19" s="1"/>
      <c r="C19" s="33" t="s">
        <v>135</v>
      </c>
      <c r="D19" s="71" t="s">
        <v>115</v>
      </c>
      <c r="E19" s="72"/>
      <c r="F19" s="72"/>
      <c r="G19" s="73"/>
      <c r="H19" s="1"/>
      <c r="I19" s="1"/>
    </row>
    <row r="20" spans="1:9" x14ac:dyDescent="0.25">
      <c r="A20" s="1"/>
      <c r="B20" s="1"/>
      <c r="C20" s="33" t="s">
        <v>7</v>
      </c>
      <c r="D20" s="71" t="s">
        <v>9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136</v>
      </c>
      <c r="D21" s="62" t="s">
        <v>12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97</v>
      </c>
      <c r="D22" s="56" t="s">
        <v>154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42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217</v>
      </c>
      <c r="D24" s="56" t="s">
        <v>98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218</v>
      </c>
      <c r="D25" s="56" t="s">
        <v>99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219</v>
      </c>
      <c r="D26" s="56" t="s">
        <v>155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137</v>
      </c>
      <c r="D27" s="56" t="s">
        <v>43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128</v>
      </c>
      <c r="D28" s="59" t="s">
        <v>129</v>
      </c>
      <c r="E28" s="60"/>
      <c r="F28" s="60"/>
      <c r="G28" s="6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vP8teEDcHYeAmwDbMnaIYkRpb2nc6BUuDgqWrKaiOCPZOOWZKiz/Hep0h0/kgRDq75aSMOJeBzF5SPCyCHPMg==" saltValue="WvjwrzeqFAL08/42Gkakr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0" t="s">
        <v>234</v>
      </c>
      <c r="C10" s="9">
        <v>28232000</v>
      </c>
      <c r="D10" s="14" t="s">
        <v>3</v>
      </c>
      <c r="E10" s="1"/>
      <c r="F10" s="1"/>
    </row>
    <row r="11" spans="1:6" ht="15" customHeight="1" x14ac:dyDescent="0.25">
      <c r="A11" s="1"/>
      <c r="B11" s="50" t="s">
        <v>235</v>
      </c>
      <c r="C11" s="9">
        <v>129365</v>
      </c>
      <c r="D11" s="14" t="s">
        <v>3</v>
      </c>
      <c r="E11" s="1"/>
      <c r="F11" s="1"/>
    </row>
    <row r="12" spans="1:6" ht="15" customHeight="1" x14ac:dyDescent="0.25">
      <c r="A12" s="1"/>
      <c r="B12" s="50" t="s">
        <v>236</v>
      </c>
      <c r="C12" s="9">
        <v>846888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74632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379430</v>
      </c>
      <c r="D14" s="14" t="s">
        <v>3</v>
      </c>
      <c r="E14" s="1"/>
      <c r="F14" s="1"/>
    </row>
    <row r="15" spans="1:6" x14ac:dyDescent="0.25">
      <c r="A15" s="1"/>
      <c r="B15" s="50" t="s">
        <v>239</v>
      </c>
      <c r="C15" s="9">
        <v>210000</v>
      </c>
      <c r="D15" s="14" t="s">
        <v>3</v>
      </c>
      <c r="E15" s="1"/>
      <c r="F15" s="1"/>
    </row>
    <row r="16" spans="1:6" x14ac:dyDescent="0.25">
      <c r="A16" s="1"/>
      <c r="B16" s="49" t="s">
        <v>251</v>
      </c>
      <c r="C16" s="9">
        <v>248763</v>
      </c>
      <c r="D16" s="14" t="s">
        <v>3</v>
      </c>
      <c r="E16" s="1"/>
      <c r="F16" s="1"/>
    </row>
    <row r="17" spans="1:6" x14ac:dyDescent="0.25">
      <c r="A17" s="1"/>
      <c r="B17" s="46" t="s">
        <v>169</v>
      </c>
      <c r="C17" s="12">
        <f>SUM(C10:C16)</f>
        <v>30121078</v>
      </c>
      <c r="D17" s="13" t="s">
        <v>3</v>
      </c>
      <c r="E17" s="1"/>
      <c r="F17" s="1"/>
    </row>
    <row r="18" spans="1:6" x14ac:dyDescent="0.25">
      <c r="A18" s="1"/>
      <c r="B18" s="46" t="s">
        <v>170</v>
      </c>
      <c r="C18" s="12">
        <f>C17*(1+'Fane 12. Nøgletal'!C13)^2</f>
        <v>30860515.52444952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beDBHjSgl/m7J1fvvpSGeG9Enf8KzF3xvc5HLsr7j2kdZHOsIpgj3Zu1bEHuGhbWbNGihfv+iPherxv0NyPx/w==" saltValue="urm2J3oXoqFqBuEXgkWon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172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37</v>
      </c>
      <c r="C7" s="101"/>
      <c r="D7" s="102"/>
      <c r="E7" s="9">
        <v>-3865340.6239333334</v>
      </c>
      <c r="F7" s="14" t="s">
        <v>3</v>
      </c>
      <c r="G7" s="1"/>
    </row>
    <row r="8" spans="1:7" ht="15" customHeight="1" x14ac:dyDescent="0.25">
      <c r="A8" s="1"/>
      <c r="B8" s="100" t="s">
        <v>38</v>
      </c>
      <c r="C8" s="101"/>
      <c r="D8" s="102"/>
      <c r="E8" s="9">
        <v>10773740.741969064</v>
      </c>
      <c r="F8" s="14" t="s">
        <v>3</v>
      </c>
      <c r="G8" s="1"/>
    </row>
    <row r="9" spans="1:7" ht="15" customHeight="1" x14ac:dyDescent="0.25">
      <c r="A9" s="1"/>
      <c r="B9" s="108" t="s">
        <v>131</v>
      </c>
      <c r="C9" s="109"/>
      <c r="D9" s="110"/>
      <c r="E9" s="10">
        <f>SUM(E7:E8)</f>
        <v>6908400.11803573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0"/>
      <c r="G10" s="1"/>
    </row>
    <row r="11" spans="1:7" ht="28.5" customHeight="1" x14ac:dyDescent="0.25">
      <c r="A11" s="1"/>
      <c r="B11" s="88" t="s">
        <v>132</v>
      </c>
      <c r="C11" s="89"/>
      <c r="D11" s="89"/>
      <c r="E11" s="89"/>
      <c r="F11" s="90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7" t="s">
        <v>116</v>
      </c>
      <c r="C13" s="98"/>
      <c r="D13" s="98"/>
      <c r="E13" s="98"/>
      <c r="F13" s="99"/>
      <c r="G13" s="1"/>
    </row>
    <row r="14" spans="1:7" x14ac:dyDescent="0.25">
      <c r="A14" s="1"/>
      <c r="B14" s="100" t="s">
        <v>117</v>
      </c>
      <c r="C14" s="101"/>
      <c r="D14" s="102"/>
      <c r="E14" s="9">
        <v>93786573.061570168</v>
      </c>
      <c r="F14" s="14" t="s">
        <v>3</v>
      </c>
      <c r="G14" s="1"/>
    </row>
    <row r="15" spans="1:7" x14ac:dyDescent="0.25">
      <c r="A15" s="1"/>
      <c r="B15" s="100" t="s">
        <v>118</v>
      </c>
      <c r="C15" s="101"/>
      <c r="D15" s="102"/>
      <c r="E15" s="9">
        <v>86561610</v>
      </c>
      <c r="F15" s="14" t="s">
        <v>3</v>
      </c>
      <c r="G15" s="1"/>
    </row>
    <row r="16" spans="1:7" x14ac:dyDescent="0.2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25">
      <c r="A17" s="1"/>
      <c r="B17" s="108" t="s">
        <v>208</v>
      </c>
      <c r="C17" s="109"/>
      <c r="D17" s="110"/>
      <c r="E17" s="10">
        <f>E14-(E15-E16)</f>
        <v>7224963.0615701675</v>
      </c>
      <c r="F17" s="17" t="s">
        <v>3</v>
      </c>
      <c r="G17" s="1"/>
    </row>
    <row r="18" spans="1:7" x14ac:dyDescent="0.25">
      <c r="A18" s="1"/>
      <c r="B18" s="46"/>
      <c r="C18" s="47"/>
      <c r="D18" s="47"/>
      <c r="E18" s="47"/>
      <c r="F18" s="20"/>
      <c r="G18" s="1"/>
    </row>
    <row r="19" spans="1:7" ht="30" customHeight="1" x14ac:dyDescent="0.25">
      <c r="A19" s="1"/>
      <c r="B19" s="88" t="s">
        <v>133</v>
      </c>
      <c r="C19" s="89"/>
      <c r="D19" s="89"/>
      <c r="E19" s="89"/>
      <c r="F19" s="90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7" t="s">
        <v>50</v>
      </c>
      <c r="C21" s="98"/>
      <c r="D21" s="98"/>
      <c r="E21" s="98"/>
      <c r="F21" s="99"/>
      <c r="G21" s="1"/>
    </row>
    <row r="22" spans="1:7" x14ac:dyDescent="0.25">
      <c r="A22" s="1"/>
      <c r="B22" s="100" t="s">
        <v>51</v>
      </c>
      <c r="C22" s="101"/>
      <c r="D22" s="102"/>
      <c r="E22" s="9">
        <v>90250898.832919955</v>
      </c>
      <c r="F22" s="14" t="s">
        <v>3</v>
      </c>
      <c r="G22" s="1"/>
    </row>
    <row r="23" spans="1:7" x14ac:dyDescent="0.25">
      <c r="A23" s="1"/>
      <c r="B23" s="100" t="s">
        <v>52</v>
      </c>
      <c r="C23" s="101"/>
      <c r="D23" s="102"/>
      <c r="E23" s="9">
        <v>91579824</v>
      </c>
      <c r="F23" s="14" t="s">
        <v>3</v>
      </c>
      <c r="G23" s="1"/>
    </row>
    <row r="24" spans="1:7" x14ac:dyDescent="0.2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25">
      <c r="A25" s="1"/>
      <c r="B25" s="108" t="s">
        <v>209</v>
      </c>
      <c r="C25" s="109"/>
      <c r="D25" s="110"/>
      <c r="E25" s="10">
        <f>E22-(E23-E24)</f>
        <v>-1328925.1670800447</v>
      </c>
      <c r="F25" s="17" t="s">
        <v>3</v>
      </c>
      <c r="G25" s="1"/>
    </row>
    <row r="26" spans="1:7" x14ac:dyDescent="0.25">
      <c r="A26" s="1"/>
      <c r="B26" s="46"/>
      <c r="C26" s="47"/>
      <c r="D26" s="47"/>
      <c r="E26" s="47"/>
      <c r="F26" s="20"/>
      <c r="G26" s="1"/>
    </row>
    <row r="27" spans="1:7" ht="28.5" customHeight="1" x14ac:dyDescent="0.25">
      <c r="A27" s="1"/>
      <c r="B27" s="88" t="s">
        <v>179</v>
      </c>
      <c r="C27" s="89"/>
      <c r="D27" s="89"/>
      <c r="E27" s="89"/>
      <c r="F27" s="90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200</v>
      </c>
      <c r="C29" s="98"/>
      <c r="D29" s="98"/>
      <c r="E29" s="98"/>
      <c r="F29" s="99"/>
      <c r="G29" s="1"/>
    </row>
    <row r="30" spans="1:7" x14ac:dyDescent="0.25">
      <c r="A30" s="1"/>
      <c r="B30" s="100" t="s">
        <v>201</v>
      </c>
      <c r="C30" s="101"/>
      <c r="D30" s="102"/>
      <c r="E30" s="9">
        <v>94735373.03125079</v>
      </c>
      <c r="F30" s="14" t="s">
        <v>3</v>
      </c>
      <c r="G30" s="1"/>
    </row>
    <row r="31" spans="1:7" x14ac:dyDescent="0.25">
      <c r="A31" s="1"/>
      <c r="B31" s="100" t="s">
        <v>202</v>
      </c>
      <c r="C31" s="101"/>
      <c r="D31" s="102"/>
      <c r="E31" s="9">
        <v>95355000</v>
      </c>
      <c r="F31" s="14" t="s">
        <v>3</v>
      </c>
      <c r="G31" s="1"/>
    </row>
    <row r="32" spans="1:7" x14ac:dyDescent="0.2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25">
      <c r="A33" s="1"/>
      <c r="B33" s="108" t="s">
        <v>210</v>
      </c>
      <c r="C33" s="109"/>
      <c r="D33" s="110"/>
      <c r="E33" s="10">
        <f>E30-(E31-E32)</f>
        <v>-619626.96874921024</v>
      </c>
      <c r="F33" s="17" t="s">
        <v>3</v>
      </c>
      <c r="G33" s="1"/>
    </row>
    <row r="34" spans="1:7" x14ac:dyDescent="0.25">
      <c r="A34" s="1"/>
      <c r="B34" s="46"/>
      <c r="C34" s="47"/>
      <c r="D34" s="47"/>
      <c r="E34" s="47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125</v>
      </c>
      <c r="C36" s="98"/>
      <c r="D36" s="98"/>
      <c r="E36" s="98"/>
      <c r="F36" s="99"/>
      <c r="G36" s="1"/>
    </row>
    <row r="37" spans="1:7" x14ac:dyDescent="0.25">
      <c r="A37" s="1"/>
      <c r="B37" s="111" t="s">
        <v>259</v>
      </c>
      <c r="C37" s="112"/>
      <c r="D37" s="113"/>
      <c r="E37" s="9">
        <v>1</v>
      </c>
      <c r="F37" s="14"/>
      <c r="G37" s="1"/>
    </row>
    <row r="38" spans="1:7" x14ac:dyDescent="0.25">
      <c r="A38" s="1"/>
      <c r="B38" s="111" t="s">
        <v>260</v>
      </c>
      <c r="C38" s="112"/>
      <c r="D38" s="113"/>
      <c r="E38" s="9">
        <v>0</v>
      </c>
      <c r="F38" s="14"/>
      <c r="G38" s="1"/>
    </row>
    <row r="39" spans="1:7" x14ac:dyDescent="0.2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25">
      <c r="A41" s="1"/>
      <c r="B41" s="114" t="s">
        <v>203</v>
      </c>
      <c r="C41" s="114"/>
      <c r="D41" s="114"/>
      <c r="E41" s="10">
        <f>E39/E40</f>
        <v>0</v>
      </c>
      <c r="F41" s="17" t="s">
        <v>3</v>
      </c>
      <c r="G41" s="1"/>
    </row>
    <row r="42" spans="1:7" x14ac:dyDescent="0.25">
      <c r="A42" s="1"/>
      <c r="B42" s="97"/>
      <c r="C42" s="98"/>
      <c r="D42" s="98"/>
      <c r="E42" s="98"/>
      <c r="F42" s="99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mVBB3DR0ICHEA6boswHKe9jWJraRmxaF7kIsfhxo2LT1tiW4udBccSLQuZrgVigUL4O3RE9MWBlaHt6DBloTbQ==" saltValue="JlJeY9B6caGAFj3DCI9Ahg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25" x14ac:dyDescent="0.25">
      <c r="A10" s="1"/>
      <c r="B10" s="53" t="s">
        <v>252</v>
      </c>
      <c r="C10" s="54" t="s">
        <v>253</v>
      </c>
      <c r="D10" s="9">
        <v>6401984</v>
      </c>
      <c r="E10" s="9">
        <f>IFERROR(D10/C10,0)</f>
        <v>85359.786666666667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3" t="s">
        <v>254</v>
      </c>
      <c r="C11" s="54" t="s">
        <v>253</v>
      </c>
      <c r="D11" s="9">
        <v>240128</v>
      </c>
      <c r="E11" s="9">
        <f t="shared" ref="E11:E13" si="0">IFERROR(D11/C11,0)</f>
        <v>3201.7066666666665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3" t="s">
        <v>255</v>
      </c>
      <c r="C12" s="54" t="s">
        <v>253</v>
      </c>
      <c r="D12" s="9">
        <v>1866163</v>
      </c>
      <c r="E12" s="9">
        <f t="shared" si="0"/>
        <v>24882.173333333332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3" t="s">
        <v>256</v>
      </c>
      <c r="C13" s="54" t="s">
        <v>253</v>
      </c>
      <c r="D13" s="9">
        <v>2919</v>
      </c>
      <c r="E13" s="9">
        <f t="shared" si="0"/>
        <v>38.92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3" t="s">
        <v>257</v>
      </c>
      <c r="C14" s="54" t="s">
        <v>253</v>
      </c>
      <c r="D14" s="9">
        <v>37153</v>
      </c>
      <c r="E14" s="9">
        <f t="shared" ref="E14:E15" si="1">IFERROR(D14/C14,0)</f>
        <v>495.37333333333333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3" t="s">
        <v>258</v>
      </c>
      <c r="C15" s="54" t="s">
        <v>253</v>
      </c>
      <c r="D15" s="9">
        <v>34788</v>
      </c>
      <c r="E15" s="9">
        <f t="shared" si="1"/>
        <v>463.84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97" t="s">
        <v>198</v>
      </c>
      <c r="C16" s="98"/>
      <c r="D16" s="99"/>
      <c r="E16" s="12">
        <f>SUM(E10:E15)</f>
        <v>114441.79999999999</v>
      </c>
      <c r="F16" s="12">
        <f t="shared" ref="F16:G16" si="2">SUM(F10:F15)</f>
        <v>0</v>
      </c>
      <c r="G16" s="12">
        <f t="shared" si="2"/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DJdJl3KELzBlWNnxuQGpTNLEWPL2P3TB+e82T7EtDpuEUZBT6yKodgfZlRIx8xf910YQIMcfzvEX/SFaS00whw==" saltValue="g0WVd0w91aelaKmDNLfKOg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Anlægsprojekter'!F16</f>
        <v>0</v>
      </c>
      <c r="D10" s="14" t="s">
        <v>3</v>
      </c>
      <c r="E10" s="9">
        <f>SUM('Fane 8. Anlægsprojekter'!E16,'Fane 8. Anlægsprojekter'!G16)</f>
        <v>114441.79999999999</v>
      </c>
      <c r="F10" s="14" t="s">
        <v>3</v>
      </c>
      <c r="G10" s="1"/>
    </row>
    <row r="11" spans="1:7" x14ac:dyDescent="0.25">
      <c r="A11" s="1"/>
      <c r="B11" s="25" t="s">
        <v>243</v>
      </c>
      <c r="C11" s="22">
        <v>321675</v>
      </c>
      <c r="D11" s="14" t="s">
        <v>3</v>
      </c>
      <c r="E11" s="9">
        <v>211462</v>
      </c>
      <c r="F11" s="14" t="s">
        <v>3</v>
      </c>
      <c r="G11" s="1"/>
    </row>
    <row r="12" spans="1:7" x14ac:dyDescent="0.25">
      <c r="A12" s="1"/>
      <c r="B12" s="55" t="s">
        <v>242</v>
      </c>
      <c r="C12" s="22">
        <v>60328</v>
      </c>
      <c r="D12" s="14" t="s">
        <v>3</v>
      </c>
      <c r="E12" s="9">
        <v>36909</v>
      </c>
      <c r="F12" s="14" t="s">
        <v>3</v>
      </c>
      <c r="G12" s="1"/>
    </row>
    <row r="13" spans="1:7" x14ac:dyDescent="0.25">
      <c r="A13" s="1"/>
      <c r="B13" s="25" t="s">
        <v>244</v>
      </c>
      <c r="C13" s="22">
        <v>35681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6" t="s">
        <v>48</v>
      </c>
      <c r="C14" s="12">
        <f>SUM(C10:C13)</f>
        <v>417684</v>
      </c>
      <c r="D14" s="13" t="s">
        <v>3</v>
      </c>
      <c r="E14" s="12">
        <f>SUM(E10:E13)</f>
        <v>362812.8</v>
      </c>
      <c r="F14" s="13" t="s">
        <v>3</v>
      </c>
      <c r="G14" s="1"/>
    </row>
    <row r="15" spans="1:7" x14ac:dyDescent="0.25">
      <c r="A15" s="1"/>
      <c r="B15" s="46" t="s">
        <v>173</v>
      </c>
      <c r="C15" s="12">
        <f>C14*(1+'Fane 12. Nøgletal'!C13)</f>
        <v>422779.74479999999</v>
      </c>
      <c r="D15" s="13" t="s">
        <v>3</v>
      </c>
      <c r="E15" s="12">
        <f>E14*(1+'Fane 12. Nøgletal'!C13)</f>
        <v>367239.11615999998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Jj2j9UHMWgYjQHXQ+5CJk8nbcytUIGdLvtP5KRAaacnHXe8+76IbCteYPdgybZWysbnEP3aS5YPbIVlJoCymDQ==" saltValue="xuVQjzYEMNWxlGo7f1cm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245</v>
      </c>
      <c r="C10" s="22">
        <v>30400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244</v>
      </c>
      <c r="C11" s="22">
        <v>1070416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6" t="s">
        <v>174</v>
      </c>
      <c r="C12" s="12">
        <f>SUM(C10:C11)</f>
        <v>1100816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7" t="s">
        <v>9</v>
      </c>
      <c r="C13" s="28">
        <f>-C12*'Fane 5. Individuelt eff. krav'!G10</f>
        <v>-21614.549942861941</v>
      </c>
      <c r="D13" s="29" t="s">
        <v>3</v>
      </c>
      <c r="E13" s="28">
        <f>-E12*'Fane 5. Individuelt eff. krav'!G10</f>
        <v>0</v>
      </c>
      <c r="F13" s="29" t="s">
        <v>3</v>
      </c>
      <c r="G13" s="1"/>
    </row>
    <row r="14" spans="1:7" x14ac:dyDescent="0.25">
      <c r="A14" s="1"/>
      <c r="B14" s="27" t="s">
        <v>123</v>
      </c>
      <c r="C14" s="28">
        <f>-C12*'Fane 12. Nøgletal'!C27</f>
        <v>-22016.32</v>
      </c>
      <c r="D14" s="29" t="s">
        <v>3</v>
      </c>
      <c r="E14" s="28">
        <f>-E12*'Fane 12. Nøgletal'!C22</f>
        <v>0</v>
      </c>
      <c r="F14" s="29" t="s">
        <v>3</v>
      </c>
      <c r="G14" s="1"/>
    </row>
    <row r="15" spans="1:7" x14ac:dyDescent="0.25">
      <c r="A15" s="1"/>
      <c r="B15" s="46" t="s">
        <v>122</v>
      </c>
      <c r="C15" s="12">
        <f>SUM(C12:C14)*(1+'Fane 12. Nøgletal'!C13)^2</f>
        <v>1083137.7986652898</v>
      </c>
      <c r="D15" s="13" t="s">
        <v>3</v>
      </c>
      <c r="E15" s="12">
        <f>SUM(E12:E14)*(1+'Fane 12. Nøgletal'!C13)^2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7" t="s">
        <v>120</v>
      </c>
      <c r="C17" s="98"/>
      <c r="D17" s="98"/>
      <c r="E17" s="98"/>
      <c r="F17" s="99"/>
      <c r="G17" s="1"/>
    </row>
    <row r="18" spans="1:7" x14ac:dyDescent="0.25">
      <c r="A18" s="1"/>
      <c r="B18" s="44" t="s">
        <v>16</v>
      </c>
      <c r="C18" s="44" t="s">
        <v>11</v>
      </c>
      <c r="D18" s="45"/>
      <c r="E18" s="44" t="s">
        <v>34</v>
      </c>
      <c r="F18" s="43"/>
      <c r="G18" s="1"/>
    </row>
    <row r="19" spans="1:7" x14ac:dyDescent="0.25">
      <c r="A19" s="1"/>
      <c r="B19" s="25" t="s">
        <v>246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6" t="s">
        <v>174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9</v>
      </c>
      <c r="C21" s="28">
        <f>-C20*'Fane 5. Individuelt eff. krav'!G10</f>
        <v>0</v>
      </c>
      <c r="D21" s="29" t="s">
        <v>3</v>
      </c>
      <c r="E21" s="28">
        <f>-E20*'Fane 5. Individuelt eff. krav'!G10</f>
        <v>0</v>
      </c>
      <c r="F21" s="29" t="s">
        <v>3</v>
      </c>
      <c r="G21" s="1"/>
    </row>
    <row r="22" spans="1:7" x14ac:dyDescent="0.25">
      <c r="A22" s="1"/>
      <c r="B22" s="27" t="s">
        <v>123</v>
      </c>
      <c r="C22" s="28">
        <f>-C20*'Fane 12. Nøgletal'!C27</f>
        <v>0</v>
      </c>
      <c r="D22" s="29" t="s">
        <v>3</v>
      </c>
      <c r="E22" s="28">
        <f>-E20*'Fane 12. Nøgletal'!C22</f>
        <v>0</v>
      </c>
      <c r="F22" s="29" t="s">
        <v>3</v>
      </c>
      <c r="G22" s="1"/>
    </row>
    <row r="23" spans="1:7" x14ac:dyDescent="0.25">
      <c r="A23" s="1"/>
      <c r="B23" s="46" t="s">
        <v>175</v>
      </c>
      <c r="C23" s="12">
        <f>SUM(C20:C22)*(1+'Fane 12. Nøgletal'!C13)^3</f>
        <v>0</v>
      </c>
      <c r="D23" s="13" t="s">
        <v>3</v>
      </c>
      <c r="E23" s="12">
        <f>SUM(E20:E22)*(1+'Fane 12. Nøgletal'!C13)^3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7" t="s">
        <v>121</v>
      </c>
      <c r="C25" s="98"/>
      <c r="D25" s="98"/>
      <c r="E25" s="98"/>
      <c r="F25" s="99"/>
      <c r="G25" s="1"/>
    </row>
    <row r="26" spans="1:7" x14ac:dyDescent="0.25">
      <c r="A26" s="1"/>
      <c r="B26" s="44" t="s">
        <v>16</v>
      </c>
      <c r="C26" s="44" t="s">
        <v>11</v>
      </c>
      <c r="D26" s="45"/>
      <c r="E26" s="44" t="s">
        <v>34</v>
      </c>
      <c r="F26" s="43"/>
      <c r="G26" s="1"/>
    </row>
    <row r="27" spans="1:7" x14ac:dyDescent="0.25">
      <c r="A27" s="1"/>
      <c r="B27" s="25" t="s">
        <v>246</v>
      </c>
      <c r="C27" s="22">
        <v>0</v>
      </c>
      <c r="D27" s="14" t="s">
        <v>3</v>
      </c>
      <c r="E27" s="9"/>
      <c r="F27" s="14" t="s">
        <v>3</v>
      </c>
      <c r="G27" s="1"/>
    </row>
    <row r="28" spans="1:7" x14ac:dyDescent="0.25">
      <c r="A28" s="1"/>
      <c r="B28" s="46" t="s">
        <v>174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9</v>
      </c>
      <c r="C29" s="28">
        <f>-C28*'Fane 5. Individuelt eff. krav'!G10</f>
        <v>0</v>
      </c>
      <c r="D29" s="29" t="s">
        <v>3</v>
      </c>
      <c r="E29" s="28">
        <f>-E28*'Fane 5. Individuelt eff. krav'!G10</f>
        <v>0</v>
      </c>
      <c r="F29" s="29" t="s">
        <v>3</v>
      </c>
      <c r="G29" s="1"/>
    </row>
    <row r="30" spans="1:7" x14ac:dyDescent="0.25">
      <c r="A30" s="1"/>
      <c r="B30" s="27" t="s">
        <v>123</v>
      </c>
      <c r="C30" s="28">
        <f>-C28*'Fane 12. Nøgletal'!C27</f>
        <v>0</v>
      </c>
      <c r="D30" s="29" t="s">
        <v>3</v>
      </c>
      <c r="E30" s="28">
        <f>-E28*'Fane 12. Nøgletal'!C22</f>
        <v>0</v>
      </c>
      <c r="F30" s="29" t="s">
        <v>3</v>
      </c>
      <c r="G30" s="1"/>
    </row>
    <row r="31" spans="1:7" x14ac:dyDescent="0.25">
      <c r="A31" s="1"/>
      <c r="B31" s="46" t="s">
        <v>184</v>
      </c>
      <c r="C31" s="12">
        <f>SUM(C28:C30)*(1+'Fane 12. Nøgletal'!C13)^4</f>
        <v>0</v>
      </c>
      <c r="D31" s="13" t="s">
        <v>3</v>
      </c>
      <c r="E31" s="12">
        <f>SUM(E28:E30)*(1+'Fane 12. Nøgletal'!C13)^4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97" t="s">
        <v>176</v>
      </c>
      <c r="C33" s="98"/>
      <c r="D33" s="98"/>
      <c r="E33" s="98"/>
      <c r="F33" s="99"/>
      <c r="G33" s="1"/>
    </row>
    <row r="34" spans="1:7" x14ac:dyDescent="0.25">
      <c r="A34" s="1"/>
      <c r="B34" s="44" t="s">
        <v>16</v>
      </c>
      <c r="C34" s="44" t="s">
        <v>11</v>
      </c>
      <c r="D34" s="45"/>
      <c r="E34" s="44" t="s">
        <v>34</v>
      </c>
      <c r="F34" s="43"/>
      <c r="G34" s="1"/>
    </row>
    <row r="35" spans="1:7" x14ac:dyDescent="0.25">
      <c r="A35" s="1"/>
      <c r="B35" s="25" t="s">
        <v>246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6" t="s">
        <v>174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9</v>
      </c>
      <c r="C37" s="28">
        <f>-C36*'Fane 5. Individuelt eff. krav'!G10</f>
        <v>0</v>
      </c>
      <c r="D37" s="29" t="s">
        <v>3</v>
      </c>
      <c r="E37" s="28">
        <f>-E36*'Fane 5. Individuelt eff. krav'!G10</f>
        <v>0</v>
      </c>
      <c r="F37" s="29" t="s">
        <v>3</v>
      </c>
      <c r="G37" s="1"/>
    </row>
    <row r="38" spans="1:7" x14ac:dyDescent="0.25">
      <c r="A38" s="1"/>
      <c r="B38" s="27" t="s">
        <v>123</v>
      </c>
      <c r="C38" s="28">
        <f>-C36*'Fane 12. Nøgletal'!C27</f>
        <v>0</v>
      </c>
      <c r="D38" s="29" t="s">
        <v>3</v>
      </c>
      <c r="E38" s="28">
        <f>-E36*'Fane 12. Nøgletal'!C22</f>
        <v>0</v>
      </c>
      <c r="F38" s="29" t="s">
        <v>3</v>
      </c>
      <c r="G38" s="1"/>
    </row>
    <row r="39" spans="1:7" x14ac:dyDescent="0.25">
      <c r="A39" s="1"/>
      <c r="B39" s="46" t="s">
        <v>185</v>
      </c>
      <c r="C39" s="12">
        <f>SUM(C36:C38)*(1+'Fane 12. Nøgletal'!C13)^5</f>
        <v>0</v>
      </c>
      <c r="D39" s="13" t="s">
        <v>3</v>
      </c>
      <c r="E39" s="12">
        <f>SUM(E36:E38)*(1+'Fane 12. Nøgletal'!C13)^5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TPW+Oxbn1sf2im/H0jqadca3B8/NuT6UVmMDsZ6xMbcDHQArPIgY9affJCOpDsysdIsxeCle8xwvCgMTzVx4BA==" saltValue="1hVuSTT5dird8hv9Xi1rkQ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157</v>
      </c>
      <c r="C9" s="94" t="s">
        <v>11</v>
      </c>
      <c r="D9" s="96"/>
      <c r="E9" s="94" t="s">
        <v>34</v>
      </c>
      <c r="F9" s="96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0fVkCpCfJihxnim2SPy+pZLDykW3lyf+suese0BWy/ynCRXeRRtr63LIRlsTRGPFJdPBPGcCSH5zlHjITsfRdw==" saltValue="alOKQnHqAT5cJjiCobnt2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OxcViYqYq1HFF6R8R0+ncjiFJL11cBuRBb8mZK1RFnxhP4TFPebqsWYZHt7McvS0VEoWz4TIq2E6qYbc8Q8NQ==" saltValue="16DlDslUs1acr3nqohbRJ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211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6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6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6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6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MdBaB776xk5QN5vWSxU0M5kwwQJ1HK+yRMwYWa4KPB78ntAzg0hfZOyBufL4zaGTg0gi09xkkbS+TSbPq0tHIw==" saltValue="VM7e3DapheV7A6PileqZwA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49" t="s">
        <v>25</v>
      </c>
      <c r="C9" s="7">
        <f>'Fane 3. Omkostninger i ØR2020'!E20</f>
        <v>61724279.847100727</v>
      </c>
      <c r="D9" s="8" t="s">
        <v>3</v>
      </c>
      <c r="E9" s="1"/>
    </row>
    <row r="10" spans="1:5" x14ac:dyDescent="0.25">
      <c r="A10" s="1"/>
      <c r="B10" s="49" t="s">
        <v>248</v>
      </c>
      <c r="C10" s="7">
        <v>-10122.068308703903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tillæg'!C15</f>
        <v>422779.74479999999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tillæg'!E15</f>
        <v>367239.11615999998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762550.95500497473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-1242243.7930756065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-550980.65095454094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-1119550.0138838263</v>
      </c>
      <c r="D20" s="8" t="s">
        <v>3</v>
      </c>
      <c r="E20" s="1"/>
    </row>
    <row r="21" spans="1:5" ht="17.100000000000001" customHeight="1" x14ac:dyDescent="0.25">
      <c r="A21" s="1"/>
      <c r="B21" s="51" t="s">
        <v>20</v>
      </c>
      <c r="C21" s="10">
        <f>SUM(C9:C20)</f>
        <v>60353953.136843018</v>
      </c>
      <c r="D21" s="11" t="s">
        <v>3</v>
      </c>
      <c r="E21" s="1"/>
    </row>
    <row r="22" spans="1:5" ht="15" customHeight="1" x14ac:dyDescent="0.25">
      <c r="A22" s="1"/>
      <c r="B22" s="46" t="s">
        <v>12</v>
      </c>
      <c r="C22" s="47"/>
      <c r="D22" s="20"/>
      <c r="E22" s="1"/>
    </row>
    <row r="23" spans="1:5" ht="15" customHeight="1" x14ac:dyDescent="0.25">
      <c r="A23" s="1"/>
      <c r="B23" s="42" t="s">
        <v>12</v>
      </c>
      <c r="C23" s="10">
        <f>'Fane 6. Ikke-påvirkelige omk.'!C18</f>
        <v>30860515.52444952</v>
      </c>
      <c r="D23" s="11" t="s">
        <v>3</v>
      </c>
      <c r="E23" s="1"/>
    </row>
    <row r="24" spans="1:5" ht="15" customHeight="1" x14ac:dyDescent="0.25">
      <c r="A24" s="1"/>
      <c r="B24" s="46" t="s">
        <v>99</v>
      </c>
      <c r="C24" s="47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Engangstillæg'!C15</f>
        <v>1083137.7986652898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Engangstillæg'!E15</f>
        <v>0</v>
      </c>
      <c r="D26" s="8" t="s">
        <v>3</v>
      </c>
      <c r="E26" s="1"/>
    </row>
    <row r="27" spans="1:5" x14ac:dyDescent="0.25">
      <c r="A27" s="1"/>
      <c r="B27" s="51" t="s">
        <v>100</v>
      </c>
      <c r="C27" s="10">
        <f>SUM(C25:C26)</f>
        <v>1083137.7986652898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7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25">
      <c r="A30" s="1"/>
      <c r="B30" s="38" t="s">
        <v>249</v>
      </c>
      <c r="C30" s="47"/>
      <c r="D30" s="20"/>
      <c r="E30" s="1"/>
    </row>
    <row r="31" spans="1:5" x14ac:dyDescent="0.25">
      <c r="A31" s="1"/>
      <c r="B31" s="39" t="s">
        <v>250</v>
      </c>
      <c r="C31" s="10">
        <v>359.59733542366376</v>
      </c>
      <c r="D31" s="11" t="s">
        <v>3</v>
      </c>
      <c r="E31" s="1"/>
    </row>
    <row r="32" spans="1:5" x14ac:dyDescent="0.25">
      <c r="A32" s="1"/>
      <c r="B32" s="46" t="s">
        <v>31</v>
      </c>
      <c r="C32" s="32">
        <f>SUM(C21,C23,C27,C29,C31)</f>
        <v>92297966.057293251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lJUlgssA11Mscv/0OXO3Z/EocApuOTERBjRnIOd/DYfMsgLMc+G3a4N0NP+qtifGXRdS6qw2Pq1kqpragJ+nw==" saltValue="NMK/lutoqkCbeRqs9eep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49" t="s">
        <v>26</v>
      </c>
      <c r="C9" s="7">
        <f>'Fane 2.1. Økonomisk ramme 2021'!C21</f>
        <v>60353953.136843018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736318.22826948483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-1199509.0200762097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-546548.56259826268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-1102045.2896417456</v>
      </c>
      <c r="D15" s="8" t="s">
        <v>3</v>
      </c>
      <c r="E15" s="1"/>
    </row>
    <row r="16" spans="1:5" ht="15" customHeight="1" x14ac:dyDescent="0.25">
      <c r="A16" s="1"/>
      <c r="B16" s="41" t="s">
        <v>20</v>
      </c>
      <c r="C16" s="10">
        <f>SUM(C9:C15)</f>
        <v>58242168.492796287</v>
      </c>
      <c r="D16" s="11" t="s">
        <v>3</v>
      </c>
      <c r="E16" s="1"/>
    </row>
    <row r="17" spans="1:5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omk.'!C18*(1+'Fane 12. Nøgletal'!C13)</f>
        <v>31237013.813847803</v>
      </c>
      <c r="D18" s="11" t="s">
        <v>3</v>
      </c>
      <c r="E18" s="1"/>
    </row>
    <row r="19" spans="1:5" ht="15" customHeight="1" x14ac:dyDescent="0.25">
      <c r="A19" s="1"/>
      <c r="B19" s="46" t="s">
        <v>99</v>
      </c>
      <c r="C19" s="47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Engangstillæg'!C23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Engangstillæg'!E23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7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6" t="s">
        <v>32</v>
      </c>
      <c r="C25" s="12">
        <f>SUM(C16,C18,C22,C24)</f>
        <v>89479182.306644082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/o0gRhiAw5BkTg6nkqWV8lUE0U94/+aEGuTwsO7sgLVsSTC7G15/uNoI76hR+RnQMPv6d5jcN/pRJEVEt6/asA==" saltValue="wpYQ253mabp9YBt5b4Ky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165</v>
      </c>
      <c r="C8" s="7">
        <f>'Fane 2.2. Økonomisk ramme 2022'!C16</f>
        <v>58242168.492796287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710554.45561211475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-1157538.2029658696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-542152.12596072233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-1084814.2605155522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56168218.358966254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omk.'!C18*(1+'Fane 12. Nøgletal'!C13)^2</f>
        <v>31618105.382376749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Engangstillæg'!C31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Engangstillæg'!E31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109</v>
      </c>
      <c r="C22" s="12">
        <f>SUM(C15,C17,C21)</f>
        <v>87786323.741343006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5rEvW69ss431+A9zT7EDfRulsewjIrZb8sQKIv4sk7l8Bt/Lu3xcariw1mr29P5/jn0pPLd5mpEF+orndupAQ==" saltValue="cRovSxeXnsv6sOyN0Pxo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166</v>
      </c>
      <c r="C8" s="7">
        <f>'Fane 2.3. Økonomisk ramme 2023'!C15</f>
        <v>56168218.358966254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685252.26397938828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-1116319.330573586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-537791.05425949418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-1067852.6471452611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54131507.590967298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omk.'!C18*(1+'Fane 12. Nøgletal'!C13)^3</f>
        <v>32003846.268041745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Engangstillæg'!C39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Engangstillæg'!E39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247</v>
      </c>
      <c r="C22" s="12">
        <f>SUM(C15,C17,C21)</f>
        <v>86135353.859009042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Cui6y56wf8PqORdaI0NQH35JurabLc5kl3tLaf9Bt+SB35aN2767ptcVIIrt1NtEtramxi/BLdUKnpd1BkJpw==" saltValue="oEok5QeceGBK9L5fWU2ke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180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167</v>
      </c>
      <c r="C8" s="47"/>
      <c r="D8" s="47"/>
      <c r="E8" s="47"/>
      <c r="F8" s="20"/>
      <c r="G8" s="1"/>
    </row>
    <row r="9" spans="1:7" x14ac:dyDescent="0.25">
      <c r="A9" s="1"/>
      <c r="B9" s="85" t="s">
        <v>23</v>
      </c>
      <c r="C9" s="86"/>
      <c r="D9" s="87"/>
      <c r="E9" s="7">
        <v>60880114.871881917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1447990.3152000001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402306.63250800001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1065324.7912046518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krav'!G9</f>
        <v>-1166719.8383470704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drift'!G25</f>
        <v>-546820.52208042471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anlæg'!G25</f>
        <v>-357916.40326635895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10">
        <f>SUM(E9:E19)</f>
        <v>61724279.847100727</v>
      </c>
      <c r="F20" s="11" t="s">
        <v>3</v>
      </c>
      <c r="G20" s="1"/>
    </row>
    <row r="21" spans="1:7" x14ac:dyDescent="0.25">
      <c r="A21" s="1"/>
      <c r="B21" s="79" t="s">
        <v>12</v>
      </c>
      <c r="C21" s="80"/>
      <c r="D21" s="80"/>
      <c r="E21" s="47"/>
      <c r="F21" s="20"/>
      <c r="G21" s="1"/>
    </row>
    <row r="22" spans="1:7" x14ac:dyDescent="0.25">
      <c r="A22" s="1"/>
      <c r="B22" s="81" t="s">
        <v>12</v>
      </c>
      <c r="C22" s="82"/>
      <c r="D22" s="83"/>
      <c r="E22" s="10">
        <v>31273855.07262687</v>
      </c>
      <c r="F22" s="11" t="s">
        <v>3</v>
      </c>
      <c r="G22" s="1"/>
    </row>
    <row r="23" spans="1:7" ht="15" customHeight="1" x14ac:dyDescent="0.25">
      <c r="A23" s="1"/>
      <c r="B23" s="79" t="s">
        <v>99</v>
      </c>
      <c r="C23" s="80"/>
      <c r="D23" s="80"/>
      <c r="E23" s="47"/>
      <c r="F23" s="47"/>
      <c r="G23" s="1"/>
    </row>
    <row r="24" spans="1:7" ht="14.25" customHeight="1" x14ac:dyDescent="0.25">
      <c r="A24" s="1"/>
      <c r="B24" s="88" t="s">
        <v>95</v>
      </c>
      <c r="C24" s="89"/>
      <c r="D24" s="90"/>
      <c r="E24" s="9">
        <v>749952.35885295004</v>
      </c>
      <c r="F24" s="8" t="s">
        <v>3</v>
      </c>
      <c r="G24" s="1"/>
    </row>
    <row r="25" spans="1:7" ht="14.25" customHeight="1" x14ac:dyDescent="0.25">
      <c r="A25" s="1"/>
      <c r="B25" s="88" t="s">
        <v>96</v>
      </c>
      <c r="C25" s="89"/>
      <c r="D25" s="90"/>
      <c r="E25" s="9">
        <v>0</v>
      </c>
      <c r="F25" s="8" t="s">
        <v>3</v>
      </c>
      <c r="G25" s="1"/>
    </row>
    <row r="26" spans="1:7" x14ac:dyDescent="0.25">
      <c r="A26" s="1"/>
      <c r="B26" s="94" t="s">
        <v>100</v>
      </c>
      <c r="C26" s="95"/>
      <c r="D26" s="95"/>
      <c r="E26" s="10">
        <v>721237.90777316585</v>
      </c>
      <c r="F26" s="11" t="s">
        <v>3</v>
      </c>
      <c r="G26" s="1"/>
    </row>
    <row r="27" spans="1:7" ht="14.25" customHeight="1" x14ac:dyDescent="0.2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25">
      <c r="A28" s="1"/>
      <c r="B28" s="94" t="s">
        <v>229</v>
      </c>
      <c r="C28" s="95"/>
      <c r="D28" s="96"/>
      <c r="E28" s="10">
        <v>0</v>
      </c>
      <c r="F28" s="11" t="s">
        <v>3</v>
      </c>
      <c r="G28" s="1"/>
    </row>
    <row r="29" spans="1:7" x14ac:dyDescent="0.2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25">
      <c r="A30" s="1"/>
      <c r="B30" s="94" t="s">
        <v>231</v>
      </c>
      <c r="C30" s="95"/>
      <c r="D30" s="96"/>
      <c r="E30" s="10">
        <v>3454200.059017865</v>
      </c>
      <c r="F30" s="11" t="s">
        <v>3</v>
      </c>
      <c r="G30" s="1"/>
    </row>
    <row r="31" spans="1:7" x14ac:dyDescent="0.25">
      <c r="A31" s="1"/>
      <c r="B31" s="46" t="s">
        <v>232</v>
      </c>
      <c r="C31" s="47"/>
      <c r="D31" s="47"/>
      <c r="E31" s="47"/>
      <c r="F31" s="20"/>
      <c r="G31" s="1"/>
    </row>
    <row r="32" spans="1:7" x14ac:dyDescent="0.25">
      <c r="A32" s="1"/>
      <c r="B32" s="81" t="s">
        <v>233</v>
      </c>
      <c r="C32" s="82"/>
      <c r="D32" s="83"/>
      <c r="E32" s="10">
        <v>0</v>
      </c>
      <c r="F32" s="11" t="s">
        <v>3</v>
      </c>
      <c r="G32" s="1"/>
    </row>
    <row r="33" spans="1:7" x14ac:dyDescent="0.25">
      <c r="A33" s="1"/>
      <c r="B33" s="46" t="s">
        <v>24</v>
      </c>
      <c r="C33" s="47"/>
      <c r="D33" s="47"/>
      <c r="E33" s="12">
        <f>SUM(E30,E26,E28,E22,E20,E32)</f>
        <v>97173572.886518627</v>
      </c>
      <c r="F33" s="13" t="s">
        <v>3</v>
      </c>
      <c r="G33" s="1"/>
    </row>
    <row r="34" spans="1:7" ht="28.15" customHeight="1" x14ac:dyDescent="0.25">
      <c r="A34" s="1"/>
      <c r="B34" s="88" t="s">
        <v>179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jnG/0sDC2t96B+4Sj2NQV/UJChMG+e6qmFDlKeB4xdJSqekSGDd4yD22FS8B77nK8O1Wr9cn+DfJdEi0aeKDeg==" saltValue="GVjcMVuHyYFofIvaRTDzHA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26927128.40936387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538542.56818727741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26723720.881359532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534474.41762719071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26631844.728969418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-678105.39352235082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519074.78670894133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25864510.379611798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1476515.7244094401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546820.52208042471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27121094.890040487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427937.65768656001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550980.65095454094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27327428.129913133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546548.56259826268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27107606.298036113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542152.12596072233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26889552.712974709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537791.05425949418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ZQYq7fTXS7dzkgNS1BgQIcpsC/s17NqTvajRJmq7pWCsFKXpdlzv0zsH1Gqt4g7OIgYzm1xkrUeVu27HmXcJyg==" saltValue="iV88x/IpR4feoYJP01eyrA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37470175.350618713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340978.59569063032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37600737.553715669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342166.71173881262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37888240.689206265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1370760.2013607777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223714.08086739996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343499.62025147962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39800668.090617955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410232.0731684076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357916.40326635895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40339190.162398346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371719.43337715196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1119550.0138838263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40074374.16879075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1102045.2896417456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39447791.291474625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1084814.2605155522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38831005.350736767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1067852.6471452611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RQS4XJhOp8bYoLhbnrycvYWMohRKBIdZj91tLFHwQXm1O1XPawYxFPC9E8ppE8VmZy41D/rUhQ/e6neJWo0RZA==" saltValue="14Iuo3fBFvwVrpVNg1MfVg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1.8288366908669806E-2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1.9635025238424895E-2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IYgbUF+TTifw5KV+SQmYts6THS7FMoEHBIWGYPEWg0Y9/cnJI83p/vXVSacWnOL6iJhdHfntI6D5V2k9aplHQ==" saltValue="YdIQfBfEY9IklY9lv4Gx4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2020-10-30T16:50:56Z</dcterms:modified>
</cp:coreProperties>
</file>