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ve Vandværk A.m.b.a (V06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25" i="8" l="1"/>
  <c r="E33" i="8" l="1"/>
  <c r="E35" i="8" s="1"/>
  <c r="E29" i="8"/>
  <c r="E25" i="2" s="1"/>
  <c r="C12" i="7"/>
  <c r="E21" i="3" l="1"/>
  <c r="E20" i="5"/>
  <c r="E20" i="4"/>
  <c r="E10" i="2"/>
  <c r="E14" i="6"/>
  <c r="C11" i="12" l="1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<sst xmlns="http://schemas.openxmlformats.org/spreadsheetml/2006/main" count="401" uniqueCount="152">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</sst>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EDVQnkv5J+/3klSEktI/jIvs+wveC1AjPu2bRxXR6anTyO+Y3S1WjuMts9zmt6kk3pd83UBSJcPLA/674WRYQ==" saltValue="wt644gZ11akkamoD9vADT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Xd+6pwl/Z5I5VqquapovGQXvWrPkGas+7tf5WeAgvnxhhHdEX9rkzdg65/Dcxco6dslapjH3vmIHktLcW7CBDg==" saltValue="TGCjXlzGpTn3eEstJEQ/k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LL2OVW3gyTAWWN3Iz6wlGkn1DShLq87ELveUiSuUND2Ob8A2ZS6gdO/Jjbt21se6bOio1aSlElk5+n70jSL5Q==" saltValue="eMkDunp8Te6TGs/badOQ0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lUT4ehaRV/W6oh+jFvwoJfvDEEQ0PBc3M0J7TYVMTBk6xKZddgjSnIJc98u2OAx3BvM+NGHaszUUkl7omGiEA==" saltValue="0BQJdhTvbsz7Adoy/dLxU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s2v6arYMkRXBeSZvSy06V+CBjepCVHu7DnikMJ076RnAD0Xt2f1gfJ1iyBQ+rr+zCyv7QT5fL58mL6FWBSFZfg==" saltValue="uM7Yqb3haveAW9myVlcPD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4KLYeCIxnTFA9/lYxv7LHP8/0JMpI8SMKuShqe+NgMc+1NPXTcWekS3eDHBlHfQv4vY1KAudHiLyyux9FisOhw==" saltValue="UxzdgXM18xyZNp0LwSGGX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44" t="s">
        <v>24</v>
      </c>
      <c r="C9" s="44"/>
      <c r="D9" s="44"/>
      <c r="E9" s="7">
        <f>'Fane 3. Omkostninger i ØR2021'!E16</f>
        <v>3774739.2463536002</v>
      </c>
      <c r="F9" s="44" t="s">
        <v>3</v>
      </c>
      <c r="G9" s="1"/>
    </row>
    <row r="10" spans="1:7" ht="17.100000000000001" customHeight="1" x14ac:dyDescent="0.4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45">
      <c r="A11" s="1"/>
      <c r="B11" s="29" t="s">
        <v>60</v>
      </c>
      <c r="C11" s="44"/>
      <c r="D11" s="44"/>
      <c r="E11" s="7">
        <f>'Fane 7.1. Varige tillæg'!C12+'Fane 7.1. Varige tillæg'!E12</f>
        <v>0</v>
      </c>
      <c r="F11" s="44" t="s">
        <v>3</v>
      </c>
      <c r="G11" s="1"/>
    </row>
    <row r="12" spans="1:7" ht="17.100000000000001" customHeight="1" x14ac:dyDescent="0.4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4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45">
      <c r="A14" s="1"/>
      <c r="B14" s="29" t="s">
        <v>18</v>
      </c>
      <c r="C14" s="44"/>
      <c r="D14" s="44"/>
      <c r="E14" s="8">
        <f>E9*'Fane 10. Nøgletal'!C13+SUM(E11:E13)*'Fane 10. Nøgletal'!C14</f>
        <v>46051.818805513925</v>
      </c>
      <c r="F14" s="44" t="s">
        <v>3</v>
      </c>
      <c r="G14" s="1"/>
    </row>
    <row r="15" spans="1:7" ht="17.100000000000001" customHeight="1" x14ac:dyDescent="0.45">
      <c r="A15" s="1"/>
      <c r="B15" s="29" t="s">
        <v>54</v>
      </c>
      <c r="C15" s="44"/>
      <c r="D15" s="44"/>
      <c r="E15" s="8">
        <f>-SUM(E9,E11:E14)*'Fane 10. Nøgletal'!C19</f>
        <v>-64953.448107704942</v>
      </c>
      <c r="F15" s="44" t="s">
        <v>3</v>
      </c>
      <c r="G15" s="1"/>
    </row>
    <row r="16" spans="1:7" ht="15" customHeight="1" x14ac:dyDescent="0.45">
      <c r="A16" s="1"/>
      <c r="B16" s="48" t="s">
        <v>20</v>
      </c>
      <c r="C16" s="37"/>
      <c r="D16" s="37"/>
      <c r="E16" s="9">
        <f>SUM(E9,E11:E15)</f>
        <v>3755837.6170514091</v>
      </c>
      <c r="F16" s="39" t="s">
        <v>3</v>
      </c>
      <c r="G16" s="1"/>
    </row>
    <row r="17" spans="1:7" ht="15" customHeight="1" x14ac:dyDescent="0.4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45">
      <c r="A18" s="1"/>
      <c r="B18" s="39" t="s">
        <v>12</v>
      </c>
      <c r="C18" s="39"/>
      <c r="D18" s="39"/>
      <c r="E18" s="9">
        <f>'Fane 4. Ikke-påvirkelige omk.'!C13</f>
        <v>1923280.0903676103</v>
      </c>
      <c r="F18" s="39" t="s">
        <v>3</v>
      </c>
      <c r="G18" s="1"/>
    </row>
    <row r="19" spans="1:7" ht="15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4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4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45">
      <c r="A22" s="1"/>
      <c r="B22" s="48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48" t="s">
        <v>31</v>
      </c>
      <c r="C24" s="37"/>
      <c r="D24" s="37"/>
      <c r="E24" s="9">
        <v>-876621.90621970315</v>
      </c>
      <c r="F24" s="39" t="s">
        <v>3</v>
      </c>
      <c r="G24" s="1"/>
    </row>
    <row r="25" spans="1:7" x14ac:dyDescent="0.45">
      <c r="A25" s="1"/>
      <c r="B25" s="48" t="s">
        <v>86</v>
      </c>
      <c r="C25" s="37"/>
      <c r="D25" s="37"/>
      <c r="E25" s="9">
        <f>'Fane 5. Kontrol af ØR2020'!E29</f>
        <v>-346809.817866839</v>
      </c>
      <c r="F25" s="39" t="s">
        <v>3</v>
      </c>
      <c r="G25" s="1"/>
    </row>
    <row r="26" spans="1:7" x14ac:dyDescent="0.45">
      <c r="A26" s="1"/>
      <c r="B26" s="38" t="s">
        <v>146</v>
      </c>
      <c r="C26" s="38"/>
      <c r="D26" s="38"/>
      <c r="E26" s="38"/>
      <c r="F26" s="38"/>
      <c r="G26" s="1"/>
    </row>
    <row r="27" spans="1:7" x14ac:dyDescent="0.45">
      <c r="A27" s="1"/>
      <c r="B27" s="39" t="s">
        <v>147</v>
      </c>
      <c r="C27" s="39"/>
      <c r="D27" s="39"/>
      <c r="E27" s="9">
        <v>0</v>
      </c>
      <c r="F27" s="39" t="s">
        <v>3</v>
      </c>
      <c r="G27" s="1"/>
    </row>
    <row r="28" spans="1:7" x14ac:dyDescent="0.45">
      <c r="A28" s="1"/>
      <c r="B28" s="38" t="s">
        <v>26</v>
      </c>
      <c r="C28" s="38"/>
      <c r="D28" s="38"/>
      <c r="E28" s="10">
        <f>SUM(E16,E18,E22,E24,E25,E27)</f>
        <v>4455685.9833324775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8n1hFvaqZsIXNR89ixwq1sjU6hX2oYwWH0+pxnrsQlxo6ThvYhuwiQtSHPnwRP2hRCk+923scNGhqlIWQKdNLQ==" saltValue="y6UVSXoc4nt04B1TedtjN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44" t="s">
        <v>66</v>
      </c>
      <c r="C9" s="44"/>
      <c r="D9" s="44"/>
      <c r="E9" s="7">
        <f>'Fane 2.1. Økonomisk ramme 2022'!E16</f>
        <v>3755837.6170514091</v>
      </c>
      <c r="F9" s="44" t="s">
        <v>3</v>
      </c>
      <c r="G9" s="1"/>
    </row>
    <row r="10" spans="1:7" ht="15" customHeight="1" x14ac:dyDescent="0.45">
      <c r="A10" s="1"/>
      <c r="B10" s="29" t="s">
        <v>62</v>
      </c>
      <c r="C10" s="44"/>
      <c r="D10" s="44"/>
      <c r="E10" s="7">
        <f>-('Fane 9. Bortfald'!C18+'Fane 9. Bortfald'!E18)</f>
        <v>0</v>
      </c>
      <c r="F10" s="44" t="s">
        <v>3</v>
      </c>
      <c r="G10" s="1"/>
    </row>
    <row r="11" spans="1:7" ht="15" customHeight="1" x14ac:dyDescent="0.45">
      <c r="A11" s="1"/>
      <c r="B11" s="36" t="s">
        <v>18</v>
      </c>
      <c r="C11" s="44"/>
      <c r="D11" s="44"/>
      <c r="E11" s="8">
        <f>SUM(E9:E10)*'Fane 10. Nøgletal'!C14</f>
        <v>12394.26413626965</v>
      </c>
      <c r="F11" s="44" t="s">
        <v>3</v>
      </c>
      <c r="G11" s="1"/>
    </row>
    <row r="12" spans="1:7" ht="15" customHeight="1" x14ac:dyDescent="0.45">
      <c r="A12" s="1"/>
      <c r="B12" s="36" t="s">
        <v>54</v>
      </c>
      <c r="C12" s="44"/>
      <c r="D12" s="44"/>
      <c r="E12" s="8">
        <f>-SUM(E9:E11)*'Fane 10. Nøgletal'!C19</f>
        <v>-64059.941980190546</v>
      </c>
      <c r="F12" s="44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3704171.9392074882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omk.'!C13*(1+'Fane 10. Nøgletal'!C14)</f>
        <v>1929626.9146658236</v>
      </c>
      <c r="F15" s="39" t="s">
        <v>3</v>
      </c>
      <c r="G15" s="1"/>
    </row>
    <row r="16" spans="1:7" ht="15" customHeight="1" x14ac:dyDescent="0.45">
      <c r="A16" s="1"/>
      <c r="B16" s="38" t="s">
        <v>42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9" t="s">
        <v>39</v>
      </c>
      <c r="C17" s="44"/>
      <c r="D17" s="44"/>
      <c r="E17" s="8">
        <f>'Fane 7.2. Engangstillæg'!C20</f>
        <v>0</v>
      </c>
      <c r="F17" s="44" t="s">
        <v>3</v>
      </c>
      <c r="G17" s="1"/>
    </row>
    <row r="18" spans="1:7" ht="15" customHeight="1" x14ac:dyDescent="0.45">
      <c r="A18" s="1"/>
      <c r="B18" s="29" t="s">
        <v>40</v>
      </c>
      <c r="C18" s="44"/>
      <c r="D18" s="44"/>
      <c r="E18" s="8">
        <f>'Fane 7.2. Engangstillæg'!E20</f>
        <v>0</v>
      </c>
      <c r="F18" s="44" t="s">
        <v>3</v>
      </c>
      <c r="G18" s="1"/>
    </row>
    <row r="19" spans="1:7" ht="15" customHeight="1" x14ac:dyDescent="0.45">
      <c r="A19" s="1"/>
      <c r="B19" s="48" t="s">
        <v>43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85</v>
      </c>
      <c r="C20" s="38"/>
      <c r="D20" s="38"/>
      <c r="E20" s="38"/>
      <c r="F20" s="38"/>
      <c r="G20" s="1"/>
    </row>
    <row r="21" spans="1:7" x14ac:dyDescent="0.45">
      <c r="A21" s="1"/>
      <c r="B21" s="39" t="s">
        <v>148</v>
      </c>
      <c r="C21" s="39"/>
      <c r="D21" s="39"/>
      <c r="E21" s="9">
        <f>'Fane 5. Kontrol af ØR2020'!E35</f>
        <v>0</v>
      </c>
      <c r="F21" s="39" t="s">
        <v>3</v>
      </c>
      <c r="G21" s="1"/>
    </row>
    <row r="22" spans="1:7" x14ac:dyDescent="0.45">
      <c r="A22" s="1"/>
      <c r="B22" s="38" t="s">
        <v>47</v>
      </c>
      <c r="C22" s="38"/>
      <c r="D22" s="38"/>
      <c r="E22" s="10">
        <f>SUM(E13,E15,E19,E21)</f>
        <v>5633798.8538733115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dXP22UqpuCwXo0hg2RUogkdREGW+UneH0h17+n1PnXv/fDSP2lz4n6uwH6Vox33//NFJIRyWwxtnSLIkOrakw==" saltValue="46gfIcYLIOQKWm2a56b7L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67</v>
      </c>
      <c r="C8" s="44"/>
      <c r="D8" s="44"/>
      <c r="E8" s="7">
        <f>'Fane 2.2. Økonomisk ramme 2023'!E13</f>
        <v>3704171.9392074882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12223.767399384711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-63178.727012316842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3653216.9795945561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omk.'!C13*(1+'Fane 10. Nøgletal'!C14)^2</f>
        <v>1935994.6834842209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45">
      <c r="A21" s="1"/>
      <c r="B21" s="38" t="s">
        <v>68</v>
      </c>
      <c r="C21" s="38"/>
      <c r="D21" s="38"/>
      <c r="E21" s="10">
        <f>SUM(E12,E14,E18,E20)</f>
        <v>5589211.6630787775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2QMgrD6IDRB1juik+/GAuXMs02xBBQ+u+iy6MRcX6GirfnW9Jdagmevw4CUwvcETlR/WJE/GvKnZ3sstsUbUxg==" saltValue="WA3gk5BggnHSMRJwzpHkY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103</v>
      </c>
      <c r="C8" s="44"/>
      <c r="D8" s="44"/>
      <c r="E8" s="7">
        <f>'Fane 2.3. Økonomisk ramme 2024'!E12</f>
        <v>3653216.9795945561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12055.616032662036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-62309.634125662713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3602962.9615015555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omk.'!C13*(1+'Fane 10. Nøgletal'!C14)^3</f>
        <v>1942383.465939719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45">
      <c r="A21" s="1"/>
      <c r="B21" s="38" t="s">
        <v>104</v>
      </c>
      <c r="C21" s="38"/>
      <c r="D21" s="38"/>
      <c r="E21" s="10">
        <f>SUM(E12,E14,E18,E20)</f>
        <v>5545346.4274412747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YQlGuhA/WYn+qry91bGfswI2HtqAW7QpAm8BpRb8yr0dBQkJMWyT0BpD/vYtTltBbtSwcN+CsyAx0jgJ6ClNWQ==" saltValue="dCgGXAPjmoHfkG1EbzTLq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126</v>
      </c>
      <c r="C8" s="38"/>
      <c r="D8" s="38"/>
      <c r="E8" s="38"/>
      <c r="F8" s="38"/>
      <c r="G8" s="1"/>
    </row>
    <row r="9" spans="1:7" x14ac:dyDescent="0.45">
      <c r="A9" s="1"/>
      <c r="B9" s="76" t="s">
        <v>23</v>
      </c>
      <c r="C9" s="76"/>
      <c r="D9" s="76"/>
      <c r="E9" s="7">
        <v>3793736</v>
      </c>
      <c r="F9" s="44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0</v>
      </c>
      <c r="F10" s="44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44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44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44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46283.5792</v>
      </c>
      <c r="F14" s="44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-65280.332846400008</v>
      </c>
      <c r="F15" s="44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3774739.2463536002</v>
      </c>
      <c r="F16" s="39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38"/>
      <c r="F17" s="38"/>
      <c r="G17" s="1"/>
    </row>
    <row r="18" spans="1:7" x14ac:dyDescent="0.45">
      <c r="A18" s="1"/>
      <c r="B18" s="81" t="s">
        <v>12</v>
      </c>
      <c r="C18" s="81"/>
      <c r="D18" s="81"/>
      <c r="E18" s="9">
        <v>1883605.3795213201</v>
      </c>
      <c r="F18" s="39" t="s">
        <v>3</v>
      </c>
      <c r="G18" s="1"/>
    </row>
    <row r="19" spans="1:7" ht="15.4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4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48" t="s">
        <v>31</v>
      </c>
      <c r="C24" s="37"/>
      <c r="D24" s="37"/>
      <c r="E24" s="9">
        <v>-876621.90621970315</v>
      </c>
      <c r="F24" s="39" t="s">
        <v>3</v>
      </c>
      <c r="G24" s="1"/>
    </row>
    <row r="25" spans="1:7" x14ac:dyDescent="0.45">
      <c r="A25" s="1"/>
      <c r="B25" s="48" t="s">
        <v>86</v>
      </c>
      <c r="C25" s="37"/>
      <c r="D25" s="37"/>
      <c r="E25" s="9">
        <v>-376146.76397972507</v>
      </c>
      <c r="F25" s="39" t="s">
        <v>3</v>
      </c>
      <c r="G25" s="1"/>
    </row>
    <row r="26" spans="1:7" ht="15" customHeight="1" x14ac:dyDescent="0.45">
      <c r="A26" s="1"/>
      <c r="B26" s="38" t="s">
        <v>25</v>
      </c>
      <c r="C26" s="38"/>
      <c r="D26" s="38"/>
      <c r="E26" s="10">
        <f>E16+E18+E22+E24+E25</f>
        <v>4405575.9556754921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aPvefRQEiVekZ4yXxURDw27RKFz5HhjtPNkzGs36AabP8g4gtzb+ObAjTzoSMVNP+wGQDc4BB41cMwQOY9vpg==" saltValue="iDe5kG3run3ydYEfQQrBg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39" t="s">
        <v>106</v>
      </c>
      <c r="D9" s="39"/>
      <c r="E9" s="1"/>
      <c r="F9" s="1"/>
    </row>
    <row r="10" spans="1:6" x14ac:dyDescent="0.45">
      <c r="A10" s="1"/>
      <c r="B10" s="28" t="s">
        <v>130</v>
      </c>
      <c r="C10" s="8">
        <v>1904521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6128</v>
      </c>
      <c r="D11" s="12" t="s">
        <v>3</v>
      </c>
      <c r="E11" s="1"/>
      <c r="F11" s="1"/>
    </row>
    <row r="12" spans="1:6" x14ac:dyDescent="0.45">
      <c r="A12" s="1"/>
      <c r="B12" s="54" t="s">
        <v>108</v>
      </c>
      <c r="C12" s="10">
        <f>SUM(C10:C11)</f>
        <v>1910649</v>
      </c>
      <c r="D12" s="11" t="s">
        <v>3</v>
      </c>
      <c r="E12" s="1"/>
      <c r="F12" s="1"/>
    </row>
    <row r="13" spans="1:6" x14ac:dyDescent="0.45">
      <c r="A13" s="1"/>
      <c r="B13" s="54" t="s">
        <v>109</v>
      </c>
      <c r="C13" s="10">
        <f>C12*(1+'Fane 10. Nøgletal'!C14)^2</f>
        <v>1923280.0903676103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C+LXXWYUeGL/s1VTHrI6x95VdwomjmqrlmJz+ZZwqrL2mvlci+pw+xn+LuFvdoZU1bmV3Lespbn/7M2oBQUayg==" saltValue="K1Qo+rnQjM5h34UT/DixP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151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43"/>
      <c r="C6" s="43"/>
      <c r="D6" s="43"/>
      <c r="E6" s="43"/>
      <c r="F6" s="43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133</v>
      </c>
      <c r="C8" s="89"/>
      <c r="D8" s="89"/>
      <c r="E8" s="89"/>
      <c r="F8" s="90"/>
      <c r="G8" s="1"/>
    </row>
    <row r="9" spans="1:7" x14ac:dyDescent="0.45">
      <c r="A9" s="1"/>
      <c r="B9" s="91" t="s">
        <v>134</v>
      </c>
      <c r="C9" s="92"/>
      <c r="D9" s="93"/>
      <c r="E9" s="8">
        <v>-566640.53624090925</v>
      </c>
      <c r="F9" s="12" t="s">
        <v>3</v>
      </c>
      <c r="G9" s="1"/>
    </row>
    <row r="10" spans="1:7" x14ac:dyDescent="0.45">
      <c r="A10" s="1"/>
      <c r="B10" s="91" t="s">
        <v>135</v>
      </c>
      <c r="C10" s="92"/>
      <c r="D10" s="93"/>
      <c r="E10" s="8">
        <v>83590.008281459101</v>
      </c>
      <c r="F10" s="12" t="s">
        <v>3</v>
      </c>
      <c r="G10" s="1"/>
    </row>
    <row r="11" spans="1:7" x14ac:dyDescent="0.45">
      <c r="A11" s="1"/>
      <c r="B11" s="91" t="s">
        <v>136</v>
      </c>
      <c r="C11" s="92"/>
      <c r="D11" s="93"/>
      <c r="E11" s="8">
        <v>-269242.60204550065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94" t="s">
        <v>137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138</v>
      </c>
      <c r="C15" s="89"/>
      <c r="D15" s="89"/>
      <c r="E15" s="89"/>
      <c r="F15" s="90"/>
      <c r="G15" s="1"/>
    </row>
    <row r="16" spans="1:7" x14ac:dyDescent="0.45">
      <c r="A16" s="1"/>
      <c r="B16" s="91" t="s">
        <v>139</v>
      </c>
      <c r="C16" s="92"/>
      <c r="D16" s="93"/>
      <c r="E16" s="8">
        <v>-376146.76397972507</v>
      </c>
      <c r="F16" s="12" t="s">
        <v>3</v>
      </c>
      <c r="G16" s="1"/>
    </row>
    <row r="17" spans="1:7" x14ac:dyDescent="0.45">
      <c r="A17" s="1"/>
      <c r="B17" s="91" t="s">
        <v>140</v>
      </c>
      <c r="C17" s="92"/>
      <c r="D17" s="93"/>
      <c r="E17" s="8">
        <v>-376146.76397972507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94" t="s">
        <v>141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9" t="s">
        <v>123</v>
      </c>
      <c r="C22" s="50"/>
      <c r="D22" s="51"/>
      <c r="E22" s="8">
        <v>5442022.7471356364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5412686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0" t="s">
        <v>125</v>
      </c>
      <c r="C25" s="41"/>
      <c r="D25" s="42"/>
      <c r="E25" s="34">
        <f>E22-(E23-E24)</f>
        <v>29336.747135636397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142</v>
      </c>
      <c r="C28" s="89"/>
      <c r="D28" s="89"/>
      <c r="E28" s="89"/>
      <c r="F28" s="90"/>
      <c r="G28" s="1"/>
    </row>
    <row r="29" spans="1:7" x14ac:dyDescent="0.45">
      <c r="A29" s="1"/>
      <c r="B29" s="85" t="s">
        <v>143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-346809.817866839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144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145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bsR22fXdUexaYzh2xhMoy2E2ZLqDpm+v67SyTnG3uwKh7t5Mr+vwPT50+oA2OHY6wfM4LAf/D3IoYjOSCWZmzw==" saltValue="o4U2d+qVTcRFQFgxqOrHP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45">
      <c r="A10" s="1"/>
      <c r="B10" s="56" t="s">
        <v>149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yDDu0eWoyadkAgqF0yc2u3Yf0WWoc6yupOmwuE5gpCpale4v4SfXbajJjsPUj7wcHNFVxSgvbuQMmyXrIh+Pg==" saltValue="U+uvSDgZtTcVnD3Pn4cNx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2021-09-13T01:05:13Z</dcterms:modified>
</cp:coreProperties>
</file>