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uresø Vandforsyning a.m.b.a. (V059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G30" i="30" l="1"/>
  <c r="G37" i="30"/>
  <c r="G36" i="30"/>
  <c r="E12" i="32" l="1"/>
  <c r="E35" i="32" l="1"/>
  <c r="E30" i="32"/>
  <c r="E26" i="32" l="1"/>
  <c r="E37" i="32" s="1"/>
  <c r="C23" i="23" l="1"/>
  <c r="C23" i="22"/>
  <c r="C24" i="15"/>
  <c r="C30" i="2"/>
  <c r="C14" i="19"/>
  <c r="C11" i="29" l="1"/>
  <c r="C12" i="29" s="1"/>
  <c r="C11" i="2" l="1"/>
  <c r="G36" i="36" s="1"/>
  <c r="C10" i="2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8" i="15"/>
  <c r="G38" i="30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<sst xmlns="http://schemas.openxmlformats.org/spreadsheetml/2006/main" count="620" uniqueCount="254">
  <si>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</si>
  <si>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</si>
  <si>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</si>
  <si>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</si>
  <si>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</si>
  <si>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</si>
  <si>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</si>
  <si>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</si>
  <si>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</si>
  <si>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</si>
  <si>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</si>
  <si>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</si>
  <si>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</si>
  <si>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</si>
  <si>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</si>
  <si>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</si>
  <si>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</si>
  <si>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</si>
  <si>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</si>
  <si>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</si>
  <si>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</si>
  <si>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</si>
  <si>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</si>
  <si>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</si>
  <si>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</si>
  <si>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</si>
  <si>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</si>
  <si>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</si>
  <si>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</si>
  <si>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</si>
  <si>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</si>
  <si>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</si>
  <si>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</si>
  <si>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</si>
  <si>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</si>
  <si>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</si>
  <si>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</si>
  <si>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</si>
  <si>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</si>
  <si>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</si>
  <si>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</si>
  <si>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</si>
  <si>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</si>
  <si>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</si>
  <si>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</si>
  <si>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</si>
  <si>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</si>
  <si>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</si>
  <si>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</si>
  <si>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</si>
  <si>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</si>
  <si>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</si>
  <si>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</si>
  <si>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</si>
  <si>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</si>
  <si>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</si>
  <si>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</si>
  <si>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</si>
  <si>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</si>
  <si>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</si>
  <si>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</si>
  <si>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</si>
  <si>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</si>
  <si>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</si>
  <si>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</si>
  <si>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</si>
  <si>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</si>
  <si>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</si>
  <si>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</si>
  <si>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</si>
  <si>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</si>
  <si>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</si>
  <si>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</si>
  <si>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</si>
  <si>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</si>
  <si>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</si>
  <si>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</si>
  <si>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</si>
  <si>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</si>
  <si>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</si>
  <si>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</si>
  <si>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</si>
  <si>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</si>
  <si>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</si>
  <si>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</si>
  <si>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</si>
  <si>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</si>
  <si>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</si>
  <si>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</si>
  <si>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</si>
  <si>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</si>
  <si>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</si>
  <si>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</si>
  <si>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</si>
  <si>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</si>
  <si>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</si>
  <si>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</si>
  <si>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</si>
  <si>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</si>
  <si>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</si>
  <si>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</si>
  <si>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</si>
  <si>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</si>
  <si>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</si>
  <si>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</si>
  <si>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</si>
  <si>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</si>
  <si>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</si>
  <si>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</si>
  <si>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</si>
  <si>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</si>
  <si>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</si>
  <si>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</si>
  <si>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</si>
  <si>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</si>
  <si>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</si>
  <si>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</si>
  <si>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</si>
  <si>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</si>
  <si>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</si>
  <si>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</si>
  <si>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</si>
  <si>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</si>
  <si>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</si>
  <si>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</si>
  <si>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</si>
  <si>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</si>
  <si>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</si>
  <si>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</si>
  <si>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</si>
  <si>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</si>
  <si>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</si>
  <si>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</si>
  <si>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</si>
  <si>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</si>
  <si>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</si>
  <si>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</si>
  <si>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</si>
  <si>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</si>
  <si>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</si>
  <si>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</si>
  <si>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</si>
  <si>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</si>
  <si>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</si>
  <si>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</si>
  <si>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</si>
  <si>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</si>
  <si>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</si>
  <si>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</si>
  <si>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</si>
  <si>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</si>
  <si>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</si>
  <si>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</si>
  <si>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</si>
  <si>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</si>
  <si>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</si>
  <si>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</si>
  <si>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</si>
  <si>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</si>
  <si>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</si>
  <si>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</si>
  <si>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</si>
  <si>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</si>
  <si>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</si>
  <si>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</si>
  <si>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</si>
  <si>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</si>
  <si>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</si>
  <si>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</si>
  <si>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</si>
  <si>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</si>
  <si>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</si>
  <si>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</si>
  <si>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</si>
  <si>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</si>
  <si>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</si>
  <si>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</si>
  <si>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</si>
  <si>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</si>
  <si>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</si>
  <si>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</si>
  <si>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</si>
  <si>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</si>
  <si>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</si>
  <si>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</si>
  <si>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</si>
  <si>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</si>
  <si>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</si>
  <si>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</si>
  <si>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</si>
  <si>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</si>
  <si>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</si>
  <si>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</si>
  <si>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</si>
  <si>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</si>
  <si>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</si>
  <si>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</si>
  <si>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</si>
  <si>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</si>
  <si>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</si>
  <si>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</si>
  <si>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</si>
  <si>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</si>
  <si>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</si>
  <si>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</si>
  <si>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</si>
  <si>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</si>
  <si>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</si>
  <si>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</si>
  <si>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</si>
  <si>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</si>
  <si>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</si>
  <si>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</si>
  <si>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</si>
  <si>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</si>
  <si>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</si>
  <si>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</si>
  <si>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</si>
  <si>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</si>
  <si>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</si>
  <si>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</si>
  <si>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</si>
  <si>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</si>
  <si>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</si>
  <si>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</si>
  <si>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</si>
  <si>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</si>
  <si>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Udvidelser af forsyningsområde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</si>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</sst>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253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163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15</v>
      </c>
      <c r="D14" s="70" t="s">
        <v>83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35</v>
      </c>
      <c r="D15" s="70" t="s">
        <v>128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36</v>
      </c>
      <c r="D16" s="70" t="s">
        <v>180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127</v>
      </c>
      <c r="D17" s="70" t="s">
        <v>181</v>
      </c>
      <c r="E17" s="71"/>
      <c r="F17" s="71"/>
      <c r="G17" s="72"/>
      <c r="H17" s="1"/>
      <c r="I17" s="1"/>
    </row>
    <row r="18" spans="1:9" x14ac:dyDescent="0.25">
      <c r="A18" s="1"/>
      <c r="B18" s="1"/>
      <c r="C18" s="32" t="s">
        <v>111</v>
      </c>
      <c r="D18" s="79" t="s">
        <v>100</v>
      </c>
      <c r="E18" s="80"/>
      <c r="F18" s="80"/>
      <c r="G18" s="81"/>
      <c r="H18" s="1"/>
      <c r="I18" s="1"/>
    </row>
    <row r="19" spans="1:9" x14ac:dyDescent="0.25">
      <c r="A19" s="1"/>
      <c r="B19" s="1"/>
      <c r="C19" s="32" t="s">
        <v>112</v>
      </c>
      <c r="D19" s="79" t="s">
        <v>101</v>
      </c>
      <c r="E19" s="80"/>
      <c r="F19" s="80"/>
      <c r="G19" s="81"/>
      <c r="H19" s="1"/>
      <c r="I19" s="1"/>
    </row>
    <row r="20" spans="1:9" x14ac:dyDescent="0.25">
      <c r="A20" s="1"/>
      <c r="B20" s="1"/>
      <c r="C20" s="32" t="s">
        <v>7</v>
      </c>
      <c r="D20" s="79" t="s">
        <v>9</v>
      </c>
      <c r="E20" s="80"/>
      <c r="F20" s="80"/>
      <c r="G20" s="81"/>
      <c r="H20" s="1"/>
      <c r="I20" s="1"/>
    </row>
    <row r="21" spans="1:9" x14ac:dyDescent="0.25">
      <c r="A21" s="1"/>
      <c r="B21" s="1"/>
      <c r="C21" s="6" t="s">
        <v>113</v>
      </c>
      <c r="D21" s="85" t="s">
        <v>12</v>
      </c>
      <c r="E21" s="86"/>
      <c r="F21" s="86"/>
      <c r="G21" s="87"/>
      <c r="H21" s="1"/>
      <c r="I21" s="1"/>
    </row>
    <row r="22" spans="1:9" x14ac:dyDescent="0.25">
      <c r="A22" s="1"/>
      <c r="B22" s="1"/>
      <c r="C22" s="6" t="s">
        <v>87</v>
      </c>
      <c r="D22" s="74" t="s">
        <v>182</v>
      </c>
      <c r="E22" s="75"/>
      <c r="F22" s="75"/>
      <c r="G22" s="76"/>
      <c r="H22" s="1"/>
      <c r="I22" s="1"/>
    </row>
    <row r="23" spans="1:9" x14ac:dyDescent="0.25">
      <c r="A23" s="1"/>
      <c r="B23" s="1"/>
      <c r="C23" s="6" t="s">
        <v>8</v>
      </c>
      <c r="D23" s="74" t="s">
        <v>37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170</v>
      </c>
      <c r="D24" s="74" t="s">
        <v>88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171</v>
      </c>
      <c r="D25" s="74" t="s">
        <v>89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172</v>
      </c>
      <c r="D26" s="74" t="s">
        <v>129</v>
      </c>
      <c r="E26" s="75"/>
      <c r="F26" s="75"/>
      <c r="G26" s="76"/>
      <c r="H26" s="1"/>
      <c r="I26" s="1"/>
    </row>
    <row r="27" spans="1:9" x14ac:dyDescent="0.25">
      <c r="A27" s="1"/>
      <c r="B27" s="1"/>
      <c r="C27" s="6" t="s">
        <v>114</v>
      </c>
      <c r="D27" s="74" t="s">
        <v>38</v>
      </c>
      <c r="E27" s="75"/>
      <c r="F27" s="75"/>
      <c r="G27" s="76"/>
      <c r="H27" s="1"/>
      <c r="I27" s="1"/>
    </row>
    <row r="28" spans="1:9" x14ac:dyDescent="0.25">
      <c r="A28" s="1"/>
      <c r="B28" s="1"/>
      <c r="C28" s="6" t="s">
        <v>108</v>
      </c>
      <c r="D28" s="82" t="s">
        <v>109</v>
      </c>
      <c r="E28" s="83"/>
      <c r="F28" s="83"/>
      <c r="G28" s="84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UE5D8xtXhl4sme4ch02fNh1oWkp+oXI0FVaQQZX9rJxpmgF/cy9/Nco3m0ja3L0joUadMwVd5L57ZlHXBm25A==" saltValue="AgEYsqqME40IpDN69S0+D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8" t="s">
        <v>117</v>
      </c>
      <c r="C3" s="88"/>
      <c r="D3" s="88"/>
      <c r="E3" s="1"/>
      <c r="F3" s="1"/>
    </row>
    <row r="4" spans="1:6" ht="15" customHeight="1" x14ac:dyDescent="0.25">
      <c r="A4" s="1"/>
      <c r="B4" s="88"/>
      <c r="C4" s="88"/>
      <c r="D4" s="8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4" t="s">
        <v>202</v>
      </c>
      <c r="C8" s="115"/>
      <c r="D8" s="116"/>
      <c r="E8" s="1"/>
      <c r="F8" s="1"/>
    </row>
    <row r="9" spans="1:6" ht="15" customHeight="1" x14ac:dyDescent="0.25">
      <c r="A9" s="1"/>
      <c r="B9" s="47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58" t="s">
        <v>228</v>
      </c>
      <c r="C10" s="9">
        <v>10765606</v>
      </c>
      <c r="D10" s="14" t="s">
        <v>3</v>
      </c>
      <c r="E10" s="1"/>
      <c r="F10" s="1"/>
    </row>
    <row r="11" spans="1:6" x14ac:dyDescent="0.25">
      <c r="A11" s="1"/>
      <c r="B11" s="58" t="s">
        <v>229</v>
      </c>
      <c r="C11" s="9">
        <v>71665</v>
      </c>
      <c r="D11" s="14" t="s">
        <v>3</v>
      </c>
      <c r="E11" s="1"/>
      <c r="F11" s="1"/>
    </row>
    <row r="12" spans="1:6" x14ac:dyDescent="0.25">
      <c r="A12" s="1"/>
      <c r="B12" s="58" t="s">
        <v>230</v>
      </c>
      <c r="C12" s="9">
        <v>423165</v>
      </c>
      <c r="D12" s="14" t="s">
        <v>3</v>
      </c>
      <c r="E12" s="1"/>
      <c r="F12" s="1"/>
    </row>
    <row r="13" spans="1:6" x14ac:dyDescent="0.25">
      <c r="A13" s="1"/>
      <c r="B13" s="58" t="s">
        <v>231</v>
      </c>
      <c r="C13" s="9">
        <v>83458.75</v>
      </c>
      <c r="D13" s="14" t="s">
        <v>3</v>
      </c>
      <c r="E13" s="1"/>
      <c r="F13" s="1"/>
    </row>
    <row r="14" spans="1:6" x14ac:dyDescent="0.25">
      <c r="A14" s="1"/>
      <c r="B14" s="50" t="s">
        <v>204</v>
      </c>
      <c r="C14" s="12">
        <f>SUM(C10:C13)</f>
        <v>11343894.75</v>
      </c>
      <c r="D14" s="13" t="s">
        <v>3</v>
      </c>
      <c r="E14" s="1"/>
      <c r="F14" s="1"/>
    </row>
    <row r="15" spans="1:6" x14ac:dyDescent="0.25">
      <c r="A15" s="1"/>
      <c r="B15" s="50" t="s">
        <v>205</v>
      </c>
      <c r="C15" s="12">
        <f>C14*(1+'Fane 12. Nøgletal'!C14)^2</f>
        <v>11418887.990363829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2V5pCGietLyZcAo0QrCyl3ME928yzxWhDe2cNMvKuuYJnTPg/uXXP0GgHQW2KaV17DG+DOcvGNdrkBJs4X8PUg==" saltValue="zHKsHLrZMACFyIMsZ2A2e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7" t="s">
        <v>220</v>
      </c>
      <c r="C3" s="107"/>
      <c r="D3" s="107"/>
      <c r="E3" s="107"/>
      <c r="F3" s="107"/>
      <c r="G3" s="1"/>
    </row>
    <row r="4" spans="1:7" ht="15" customHeight="1" x14ac:dyDescent="0.25">
      <c r="A4" s="1"/>
      <c r="B4" s="107"/>
      <c r="C4" s="107"/>
      <c r="D4" s="107"/>
      <c r="E4" s="107"/>
      <c r="F4" s="107"/>
      <c r="G4" s="1"/>
    </row>
    <row r="5" spans="1:7" ht="15" customHeight="1" x14ac:dyDescent="0.25">
      <c r="A5" s="1"/>
      <c r="B5" s="45"/>
      <c r="C5" s="45"/>
      <c r="D5" s="45"/>
      <c r="E5" s="45"/>
      <c r="F5" s="45"/>
      <c r="G5" s="1"/>
    </row>
    <row r="6" spans="1:7" ht="15" customHeight="1" x14ac:dyDescent="0.25">
      <c r="A6" s="1"/>
      <c r="B6" s="45"/>
      <c r="C6" s="45"/>
      <c r="D6" s="45"/>
      <c r="E6" s="45"/>
      <c r="F6" s="45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234</v>
      </c>
      <c r="C8" s="115"/>
      <c r="D8" s="115"/>
      <c r="E8" s="115"/>
      <c r="F8" s="116"/>
      <c r="G8" s="1"/>
    </row>
    <row r="9" spans="1:7" x14ac:dyDescent="0.25">
      <c r="A9" s="1"/>
      <c r="B9" s="111" t="s">
        <v>235</v>
      </c>
      <c r="C9" s="112"/>
      <c r="D9" s="113"/>
      <c r="E9" s="9">
        <v>4350505.5270729586</v>
      </c>
      <c r="F9" s="14" t="s">
        <v>3</v>
      </c>
      <c r="G9" s="1"/>
    </row>
    <row r="10" spans="1:7" x14ac:dyDescent="0.25">
      <c r="A10" s="1"/>
      <c r="B10" s="111" t="s">
        <v>236</v>
      </c>
      <c r="C10" s="112"/>
      <c r="D10" s="113"/>
      <c r="E10" s="9">
        <v>-4040665.3345892616</v>
      </c>
      <c r="F10" s="14" t="s">
        <v>3</v>
      </c>
      <c r="G10" s="1"/>
    </row>
    <row r="11" spans="1:7" x14ac:dyDescent="0.25">
      <c r="A11" s="1"/>
      <c r="B11" s="111" t="s">
        <v>237</v>
      </c>
      <c r="C11" s="112"/>
      <c r="D11" s="113"/>
      <c r="E11" s="9">
        <v>-747775.21537547559</v>
      </c>
      <c r="F11" s="14" t="s">
        <v>3</v>
      </c>
      <c r="G11" s="1"/>
    </row>
    <row r="12" spans="1:7" x14ac:dyDescent="0.25">
      <c r="A12" s="1"/>
      <c r="B12" s="111" t="s">
        <v>238</v>
      </c>
      <c r="C12" s="112"/>
      <c r="D12" s="113"/>
      <c r="E12" s="9">
        <f>E17+E18</f>
        <v>-437934.80751630291</v>
      </c>
      <c r="F12" s="14" t="s">
        <v>3</v>
      </c>
      <c r="G12" s="1"/>
    </row>
    <row r="13" spans="1:7" x14ac:dyDescent="0.25">
      <c r="A13" s="1"/>
      <c r="B13" s="50"/>
      <c r="C13" s="51"/>
      <c r="D13" s="51"/>
      <c r="E13" s="51"/>
      <c r="F13" s="20"/>
      <c r="G13" s="1"/>
    </row>
    <row r="14" spans="1:7" ht="54.75" customHeight="1" x14ac:dyDescent="0.25">
      <c r="A14" s="1"/>
      <c r="B14" s="90" t="s">
        <v>239</v>
      </c>
      <c r="C14" s="91"/>
      <c r="D14" s="91"/>
      <c r="E14" s="91"/>
      <c r="F14" s="92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4" t="s">
        <v>240</v>
      </c>
      <c r="C16" s="115"/>
      <c r="D16" s="115"/>
      <c r="E16" s="115"/>
      <c r="F16" s="116"/>
      <c r="G16" s="1"/>
    </row>
    <row r="17" spans="1:7" x14ac:dyDescent="0.25">
      <c r="A17" s="1"/>
      <c r="B17" s="111" t="s">
        <v>241</v>
      </c>
      <c r="C17" s="112"/>
      <c r="D17" s="113"/>
      <c r="E17" s="9">
        <v>-218967.40375815146</v>
      </c>
      <c r="F17" s="14" t="s">
        <v>3</v>
      </c>
      <c r="G17" s="1"/>
    </row>
    <row r="18" spans="1:7" x14ac:dyDescent="0.25">
      <c r="A18" s="1"/>
      <c r="B18" s="111" t="s">
        <v>242</v>
      </c>
      <c r="C18" s="112"/>
      <c r="D18" s="113"/>
      <c r="E18" s="9">
        <v>-218967.40375815146</v>
      </c>
      <c r="F18" s="14" t="s">
        <v>3</v>
      </c>
      <c r="G18" s="1"/>
    </row>
    <row r="19" spans="1:7" x14ac:dyDescent="0.25">
      <c r="A19" s="1"/>
      <c r="B19" s="50"/>
      <c r="C19" s="51"/>
      <c r="D19" s="51"/>
      <c r="E19" s="51"/>
      <c r="F19" s="20"/>
      <c r="G19" s="1"/>
    </row>
    <row r="20" spans="1:7" ht="30" customHeight="1" x14ac:dyDescent="0.25">
      <c r="A20" s="1"/>
      <c r="B20" s="90" t="s">
        <v>243</v>
      </c>
      <c r="C20" s="91"/>
      <c r="D20" s="91"/>
      <c r="E20" s="91"/>
      <c r="F20" s="92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2" t="s">
        <v>206</v>
      </c>
      <c r="C22" s="53"/>
      <c r="D22" s="53"/>
      <c r="E22" s="53"/>
      <c r="F22" s="54"/>
      <c r="G22" s="1"/>
    </row>
    <row r="23" spans="1:7" x14ac:dyDescent="0.25">
      <c r="A23" s="1"/>
      <c r="B23" s="55" t="s">
        <v>207</v>
      </c>
      <c r="C23" s="56"/>
      <c r="D23" s="57"/>
      <c r="E23" s="9">
        <v>30521515.133327473</v>
      </c>
      <c r="F23" s="14" t="s">
        <v>3</v>
      </c>
      <c r="G23" s="1"/>
    </row>
    <row r="24" spans="1:7" x14ac:dyDescent="0.25">
      <c r="A24" s="1"/>
      <c r="B24" s="55" t="s">
        <v>208</v>
      </c>
      <c r="C24" s="56"/>
      <c r="D24" s="57"/>
      <c r="E24" s="9">
        <v>28791562</v>
      </c>
      <c r="F24" s="14" t="s">
        <v>3</v>
      </c>
      <c r="G24" s="1"/>
    </row>
    <row r="25" spans="1:7" x14ac:dyDescent="0.25">
      <c r="A25" s="1"/>
      <c r="B25" s="55" t="s">
        <v>34</v>
      </c>
      <c r="C25" s="56"/>
      <c r="D25" s="57"/>
      <c r="E25" s="9">
        <v>0</v>
      </c>
      <c r="F25" s="14" t="s">
        <v>3</v>
      </c>
      <c r="G25" s="1"/>
    </row>
    <row r="26" spans="1:7" x14ac:dyDescent="0.25">
      <c r="A26" s="1"/>
      <c r="B26" s="59" t="s">
        <v>250</v>
      </c>
      <c r="C26" s="60"/>
      <c r="D26" s="61"/>
      <c r="E26" s="40">
        <f>E23-(E24-E25)</f>
        <v>1729953.133327473</v>
      </c>
      <c r="F26" s="17" t="s">
        <v>3</v>
      </c>
      <c r="G26" s="1"/>
    </row>
    <row r="27" spans="1:7" x14ac:dyDescent="0.25">
      <c r="A27" s="1"/>
      <c r="B27" s="50"/>
      <c r="C27" s="51"/>
      <c r="D27" s="51"/>
      <c r="E27" s="51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4" t="s">
        <v>244</v>
      </c>
      <c r="C29" s="115"/>
      <c r="D29" s="115"/>
      <c r="E29" s="115"/>
      <c r="F29" s="116"/>
      <c r="G29" s="1"/>
    </row>
    <row r="30" spans="1:7" x14ac:dyDescent="0.25">
      <c r="A30" s="1"/>
      <c r="B30" s="126" t="s">
        <v>245</v>
      </c>
      <c r="C30" s="127"/>
      <c r="D30" s="128"/>
      <c r="E30" s="41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218967.40375815146</v>
      </c>
      <c r="F30" s="17" t="s">
        <v>3</v>
      </c>
      <c r="G30" s="1"/>
    </row>
    <row r="31" spans="1:7" x14ac:dyDescent="0.25">
      <c r="A31" s="1"/>
      <c r="B31" s="114"/>
      <c r="C31" s="115"/>
      <c r="D31" s="115"/>
      <c r="E31" s="115"/>
      <c r="F31" s="116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4" t="s">
        <v>246</v>
      </c>
      <c r="C33" s="115"/>
      <c r="D33" s="115"/>
      <c r="E33" s="115"/>
      <c r="F33" s="116"/>
      <c r="G33" s="1"/>
    </row>
    <row r="34" spans="1:7" x14ac:dyDescent="0.25">
      <c r="A34" s="1"/>
      <c r="B34" s="133" t="s">
        <v>251</v>
      </c>
      <c r="C34" s="134"/>
      <c r="D34" s="135"/>
      <c r="E34" s="9">
        <v>0</v>
      </c>
      <c r="F34" s="14"/>
      <c r="G34" s="1"/>
    </row>
    <row r="35" spans="1:7" x14ac:dyDescent="0.25">
      <c r="A35" s="1"/>
      <c r="B35" s="133" t="s">
        <v>161</v>
      </c>
      <c r="C35" s="134"/>
      <c r="D35" s="135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3" t="s">
        <v>110</v>
      </c>
      <c r="C36" s="134"/>
      <c r="D36" s="135"/>
      <c r="E36" s="9">
        <v>4</v>
      </c>
      <c r="F36" s="14" t="s">
        <v>19</v>
      </c>
      <c r="G36" s="1"/>
    </row>
    <row r="37" spans="1:7" x14ac:dyDescent="0.25">
      <c r="A37" s="1"/>
      <c r="B37" s="129" t="s">
        <v>160</v>
      </c>
      <c r="C37" s="129"/>
      <c r="D37" s="129"/>
      <c r="E37" s="10">
        <f>E35/E36</f>
        <v>0</v>
      </c>
      <c r="F37" s="17" t="s">
        <v>3</v>
      </c>
      <c r="G37" s="1"/>
    </row>
    <row r="38" spans="1:7" x14ac:dyDescent="0.25">
      <c r="A38" s="1"/>
      <c r="B38" s="130"/>
      <c r="C38" s="131"/>
      <c r="D38" s="131"/>
      <c r="E38" s="131"/>
      <c r="F38" s="132"/>
      <c r="G38" s="1"/>
    </row>
    <row r="39" spans="1:7" ht="75" customHeight="1" x14ac:dyDescent="0.25">
      <c r="A39" s="1"/>
      <c r="B39" s="90" t="s">
        <v>249</v>
      </c>
      <c r="C39" s="91"/>
      <c r="D39" s="91"/>
      <c r="E39" s="91"/>
      <c r="F39" s="92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m80lVQAWiHq5JtNgtdmMF6h5hi8DTngcsjKKrbdoTPsb9z4UqtYSn13sFWjcZMcu7hRSaV/bxEcyGGeqSV6KyA==" saltValue="kzMxKrT/yRLvcPy5h+QDRw==" spinCount="100000" sheet="1" objects="1" scenarios="1"/>
  <mergeCells count="21">
    <mergeCell ref="B38:F38"/>
    <mergeCell ref="B39:F39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29:F29"/>
    <mergeCell ref="B30:D30"/>
    <mergeCell ref="B37:D37"/>
    <mergeCell ref="B3:F4"/>
    <mergeCell ref="B17:D17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169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4" t="s">
        <v>157</v>
      </c>
      <c r="C8" s="115"/>
      <c r="D8" s="115"/>
      <c r="E8" s="115"/>
      <c r="F8" s="115"/>
      <c r="G8" s="115"/>
      <c r="H8" s="116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4"/>
      <c r="I9" s="1"/>
    </row>
    <row r="10" spans="1:9" x14ac:dyDescent="0.25">
      <c r="A10" s="1"/>
      <c r="B10" s="63" t="s">
        <v>252</v>
      </c>
      <c r="C10" s="64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4" t="s">
        <v>158</v>
      </c>
      <c r="C11" s="115"/>
      <c r="D11" s="11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8O8sZKhWkFmAkOzygddfIxdhTI9FgKfjr/NhU9LW6oPKnCoArpPHJYGZknH9TEyTuSuBZUTW//8AvC2sOdZD6g==" saltValue="HKjdV6vRc7yPQIepEFCWf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0" t="s">
        <v>84</v>
      </c>
      <c r="C8" s="51"/>
      <c r="D8" s="51"/>
      <c r="E8" s="51"/>
      <c r="F8" s="20"/>
      <c r="G8" s="1"/>
    </row>
    <row r="9" spans="1:7" ht="17.25" customHeight="1" x14ac:dyDescent="0.25">
      <c r="A9" s="1"/>
      <c r="B9" s="48" t="s">
        <v>16</v>
      </c>
      <c r="C9" s="48" t="s">
        <v>11</v>
      </c>
      <c r="D9" s="49"/>
      <c r="E9" s="48" t="s">
        <v>32</v>
      </c>
      <c r="F9" s="44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227</v>
      </c>
      <c r="C11" s="22">
        <v>0</v>
      </c>
      <c r="D11" s="14" t="s">
        <v>3</v>
      </c>
      <c r="E11" s="9">
        <v>9888</v>
      </c>
      <c r="F11" s="14" t="s">
        <v>3</v>
      </c>
      <c r="G11" s="1"/>
    </row>
    <row r="12" spans="1:7" x14ac:dyDescent="0.25">
      <c r="A12" s="1"/>
      <c r="B12" s="50" t="s">
        <v>136</v>
      </c>
      <c r="C12" s="12">
        <f>SUM(C10:C11)</f>
        <v>0</v>
      </c>
      <c r="D12" s="13" t="s">
        <v>3</v>
      </c>
      <c r="E12" s="12">
        <f>SUM(E10:E11)</f>
        <v>9888</v>
      </c>
      <c r="F12" s="13" t="s">
        <v>3</v>
      </c>
      <c r="G12" s="1"/>
    </row>
    <row r="13" spans="1:7" x14ac:dyDescent="0.25">
      <c r="A13" s="1"/>
      <c r="B13" s="50" t="s">
        <v>209</v>
      </c>
      <c r="C13" s="12">
        <f>C12*(1+'Fane 12. Nøgletal'!C14)</f>
        <v>0</v>
      </c>
      <c r="D13" s="13" t="s">
        <v>3</v>
      </c>
      <c r="E13" s="12">
        <f>E12*(1+'Fane 12. Nøgletal'!C14)</f>
        <v>9920.6304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+kDhRtu1PB1FqBPRlbwKbKIwE4hrgz4CziZcN+B/bb3XKgqMngdUDfgsbqpMq+zNDHA1NrayuP8X62BzoaZBtg==" saltValue="0VcagzTSXSixk2vTldGfO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102</v>
      </c>
      <c r="C8" s="115"/>
      <c r="D8" s="115"/>
      <c r="E8" s="115"/>
      <c r="F8" s="116"/>
      <c r="G8" s="1"/>
    </row>
    <row r="9" spans="1:7" x14ac:dyDescent="0.25">
      <c r="A9" s="1"/>
      <c r="B9" s="48" t="s">
        <v>16</v>
      </c>
      <c r="C9" s="48" t="s">
        <v>11</v>
      </c>
      <c r="D9" s="49"/>
      <c r="E9" s="48" t="s">
        <v>32</v>
      </c>
      <c r="F9" s="44"/>
      <c r="G9" s="1"/>
    </row>
    <row r="10" spans="1:7" x14ac:dyDescent="0.25">
      <c r="A10" s="1"/>
      <c r="B10" s="25" t="s">
        <v>232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0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0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4" t="s">
        <v>103</v>
      </c>
      <c r="C16" s="115"/>
      <c r="D16" s="115"/>
      <c r="E16" s="115"/>
      <c r="F16" s="116"/>
      <c r="G16" s="1"/>
    </row>
    <row r="17" spans="1:7" x14ac:dyDescent="0.25">
      <c r="A17" s="1"/>
      <c r="B17" s="48" t="s">
        <v>16</v>
      </c>
      <c r="C17" s="48" t="s">
        <v>11</v>
      </c>
      <c r="D17" s="49"/>
      <c r="E17" s="48" t="s">
        <v>32</v>
      </c>
      <c r="F17" s="44"/>
      <c r="G17" s="1"/>
    </row>
    <row r="18" spans="1:7" x14ac:dyDescent="0.25">
      <c r="A18" s="1"/>
      <c r="B18" s="25" t="s">
        <v>232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0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0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4" t="s">
        <v>138</v>
      </c>
      <c r="C24" s="115"/>
      <c r="D24" s="115"/>
      <c r="E24" s="115"/>
      <c r="F24" s="116"/>
      <c r="G24" s="1"/>
    </row>
    <row r="25" spans="1:7" x14ac:dyDescent="0.25">
      <c r="A25" s="1"/>
      <c r="B25" s="48" t="s">
        <v>16</v>
      </c>
      <c r="C25" s="48" t="s">
        <v>11</v>
      </c>
      <c r="D25" s="49"/>
      <c r="E25" s="48" t="s">
        <v>32</v>
      </c>
      <c r="F25" s="44"/>
      <c r="G25" s="1"/>
    </row>
    <row r="26" spans="1:7" x14ac:dyDescent="0.25">
      <c r="A26" s="1"/>
      <c r="B26" s="25" t="s">
        <v>232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0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0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4" t="s">
        <v>211</v>
      </c>
      <c r="C32" s="115"/>
      <c r="D32" s="115"/>
      <c r="E32" s="115"/>
      <c r="F32" s="116"/>
      <c r="G32" s="1"/>
    </row>
    <row r="33" spans="1:7" x14ac:dyDescent="0.25">
      <c r="A33" s="1"/>
      <c r="B33" s="48" t="s">
        <v>16</v>
      </c>
      <c r="C33" s="48" t="s">
        <v>11</v>
      </c>
      <c r="D33" s="49"/>
      <c r="E33" s="48" t="s">
        <v>32</v>
      </c>
      <c r="F33" s="44"/>
      <c r="G33" s="1"/>
    </row>
    <row r="34" spans="1:7" x14ac:dyDescent="0.25">
      <c r="A34" s="1"/>
      <c r="B34" s="25" t="s">
        <v>232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0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0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C2wYPXx3/ygFJstlwcR+IKHPDCskQkOznMhGl3hnC1PoIRHIiymebwvLkMlxoUk2Hq9d1EdVdRmyAhxXacLYmA==" saltValue="06W8uW8F0G1vg2Yp9nzJN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7" t="s">
        <v>166</v>
      </c>
      <c r="C3" s="107"/>
      <c r="D3" s="107"/>
      <c r="E3" s="107"/>
      <c r="F3" s="107"/>
      <c r="G3" s="1"/>
    </row>
    <row r="4" spans="1:7" ht="25.5" customHeight="1" x14ac:dyDescent="0.25">
      <c r="A4" s="1"/>
      <c r="B4" s="107"/>
      <c r="C4" s="107"/>
      <c r="D4" s="107"/>
      <c r="E4" s="107"/>
      <c r="F4" s="10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130</v>
      </c>
      <c r="C8" s="115"/>
      <c r="D8" s="115"/>
      <c r="E8" s="115"/>
      <c r="F8" s="116"/>
      <c r="G8" s="1"/>
    </row>
    <row r="9" spans="1:7" ht="15" customHeight="1" x14ac:dyDescent="0.25">
      <c r="A9" s="1"/>
      <c r="B9" s="43" t="s">
        <v>131</v>
      </c>
      <c r="C9" s="99" t="s">
        <v>11</v>
      </c>
      <c r="D9" s="101"/>
      <c r="E9" s="99" t="s">
        <v>32</v>
      </c>
      <c r="F9" s="101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2C2AC69Q3acBLiCTQpGPSARiPqSA05koYjkXuLVAb80jQcmy6ACiWCxcq+v0fNmh05v80Gc5W3nicR3toCTX7g==" saltValue="WdkHLAeoUrAj5ztaE6auX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7" t="s">
        <v>165</v>
      </c>
      <c r="C3" s="107"/>
      <c r="D3" s="107"/>
      <c r="E3" s="107"/>
      <c r="F3" s="107"/>
      <c r="G3" s="1"/>
    </row>
    <row r="4" spans="1:7" ht="25.5" customHeight="1" x14ac:dyDescent="0.25">
      <c r="A4" s="1"/>
      <c r="B4" s="107"/>
      <c r="C4" s="107"/>
      <c r="D4" s="107"/>
      <c r="E4" s="107"/>
      <c r="F4" s="10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98</v>
      </c>
      <c r="C8" s="115"/>
      <c r="D8" s="115"/>
      <c r="E8" s="115"/>
      <c r="F8" s="116"/>
      <c r="G8" s="1"/>
    </row>
    <row r="9" spans="1:7" ht="15" customHeight="1" x14ac:dyDescent="0.25">
      <c r="A9" s="1"/>
      <c r="B9" s="43" t="s">
        <v>17</v>
      </c>
      <c r="C9" s="43" t="s">
        <v>11</v>
      </c>
      <c r="D9" s="44"/>
      <c r="E9" s="43" t="s">
        <v>32</v>
      </c>
      <c r="F9" s="44"/>
      <c r="G9" s="1"/>
    </row>
    <row r="10" spans="1:7" x14ac:dyDescent="0.25">
      <c r="A10" s="1"/>
      <c r="B10" s="25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0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0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4" t="s">
        <v>99</v>
      </c>
      <c r="C15" s="115"/>
      <c r="D15" s="115"/>
      <c r="E15" s="115"/>
      <c r="F15" s="116"/>
      <c r="G15" s="1"/>
    </row>
    <row r="16" spans="1:7" ht="26.25" x14ac:dyDescent="0.25">
      <c r="A16" s="1"/>
      <c r="B16" s="43" t="s">
        <v>17</v>
      </c>
      <c r="C16" s="43" t="s">
        <v>11</v>
      </c>
      <c r="D16" s="44"/>
      <c r="E16" s="43" t="s">
        <v>32</v>
      </c>
      <c r="F16" s="44"/>
      <c r="G16" s="1"/>
    </row>
    <row r="17" spans="1:7" x14ac:dyDescent="0.25">
      <c r="A17" s="1"/>
      <c r="B17" s="25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0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0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4" t="s">
        <v>142</v>
      </c>
      <c r="C22" s="115"/>
      <c r="D22" s="115"/>
      <c r="E22" s="115"/>
      <c r="F22" s="116"/>
      <c r="G22" s="1"/>
    </row>
    <row r="23" spans="1:7" ht="26.25" x14ac:dyDescent="0.25">
      <c r="A23" s="1"/>
      <c r="B23" s="43" t="s">
        <v>17</v>
      </c>
      <c r="C23" s="43" t="s">
        <v>11</v>
      </c>
      <c r="D23" s="44"/>
      <c r="E23" s="43" t="s">
        <v>32</v>
      </c>
      <c r="F23" s="44"/>
      <c r="G23" s="1"/>
    </row>
    <row r="24" spans="1:7" x14ac:dyDescent="0.25">
      <c r="A24" s="1"/>
      <c r="B24" s="25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0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0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4" t="s">
        <v>214</v>
      </c>
      <c r="C29" s="115"/>
      <c r="D29" s="115"/>
      <c r="E29" s="115"/>
      <c r="F29" s="116"/>
      <c r="G29" s="1"/>
    </row>
    <row r="30" spans="1:7" ht="26.25" x14ac:dyDescent="0.25">
      <c r="A30" s="1"/>
      <c r="B30" s="43" t="s">
        <v>17</v>
      </c>
      <c r="C30" s="43" t="s">
        <v>11</v>
      </c>
      <c r="D30" s="44"/>
      <c r="E30" s="43" t="s">
        <v>32</v>
      </c>
      <c r="F30" s="44"/>
      <c r="G30" s="1"/>
    </row>
    <row r="31" spans="1:7" x14ac:dyDescent="0.25">
      <c r="A31" s="1"/>
      <c r="B31" s="25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0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0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SBtMxOm/flZrPv+XZyeJrmnriTsEtf5VeRRvHxG/zOFvJOiuQfVsG5RgT0ktz6Ptd5Mlvq6TRwE+b6fQ25BHrw==" saltValue="VJR2wP9A+HXRlRfEjGQI1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7" t="s">
        <v>164</v>
      </c>
      <c r="C3" s="107"/>
      <c r="D3" s="1"/>
    </row>
    <row r="4" spans="1:4" ht="25.5" customHeight="1" x14ac:dyDescent="0.25">
      <c r="A4" s="1"/>
      <c r="B4" s="107"/>
      <c r="C4" s="10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0" t="s">
        <v>14</v>
      </c>
      <c r="C8" s="20"/>
      <c r="D8" s="1"/>
    </row>
    <row r="9" spans="1:4" x14ac:dyDescent="0.25">
      <c r="A9" s="1"/>
      <c r="B9" s="58" t="s">
        <v>118</v>
      </c>
      <c r="C9" s="26">
        <v>1.2699999999999999E-2</v>
      </c>
      <c r="D9" s="1"/>
    </row>
    <row r="10" spans="1:4" x14ac:dyDescent="0.25">
      <c r="A10" s="1"/>
      <c r="B10" s="58" t="s">
        <v>22</v>
      </c>
      <c r="C10" s="26">
        <v>1.7500000000000002E-2</v>
      </c>
      <c r="D10" s="1"/>
    </row>
    <row r="11" spans="1:4" x14ac:dyDescent="0.25">
      <c r="A11" s="1"/>
      <c r="B11" s="58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65">
        <v>3.3E-3</v>
      </c>
      <c r="D14" s="1"/>
    </row>
    <row r="15" spans="1:4" x14ac:dyDescent="0.25">
      <c r="A15" s="1"/>
      <c r="B15" s="114"/>
      <c r="C15" s="116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0" t="s">
        <v>106</v>
      </c>
      <c r="C18" s="20"/>
      <c r="D18" s="1"/>
    </row>
    <row r="19" spans="1:4" x14ac:dyDescent="0.25">
      <c r="A19" s="1"/>
      <c r="B19" s="58" t="s">
        <v>120</v>
      </c>
      <c r="C19" s="23">
        <v>9.1000000000000004E-3</v>
      </c>
      <c r="D19" s="1"/>
    </row>
    <row r="20" spans="1:4" x14ac:dyDescent="0.25">
      <c r="A20" s="1"/>
      <c r="B20" s="58" t="s">
        <v>121</v>
      </c>
      <c r="C20" s="23">
        <v>1.77E-2</v>
      </c>
      <c r="D20" s="1"/>
    </row>
    <row r="21" spans="1:4" x14ac:dyDescent="0.25">
      <c r="A21" s="1"/>
      <c r="B21" s="58" t="s">
        <v>122</v>
      </c>
      <c r="C21" s="23">
        <v>8.6999999999999994E-3</v>
      </c>
      <c r="D21" s="1"/>
    </row>
    <row r="22" spans="1:4" x14ac:dyDescent="0.25">
      <c r="A22" s="1"/>
      <c r="B22" s="58" t="s">
        <v>123</v>
      </c>
      <c r="C22" s="35">
        <v>2.8400000000000002E-2</v>
      </c>
      <c r="D22" s="1"/>
    </row>
    <row r="23" spans="1:4" x14ac:dyDescent="0.25">
      <c r="A23" s="1"/>
      <c r="B23" s="58" t="s">
        <v>146</v>
      </c>
      <c r="C23" s="35">
        <v>2.75E-2</v>
      </c>
      <c r="D23" s="1"/>
    </row>
    <row r="24" spans="1:4" x14ac:dyDescent="0.25">
      <c r="A24" s="1"/>
      <c r="B24" s="58" t="s">
        <v>217</v>
      </c>
      <c r="C24" s="35">
        <v>1.4800000000000001E-2</v>
      </c>
      <c r="D24" s="1"/>
    </row>
    <row r="25" spans="1:4" x14ac:dyDescent="0.25">
      <c r="A25" s="1"/>
      <c r="B25" s="50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0" t="s">
        <v>107</v>
      </c>
      <c r="C28" s="20"/>
      <c r="D28" s="1"/>
    </row>
    <row r="29" spans="1:4" x14ac:dyDescent="0.25">
      <c r="A29" s="1"/>
      <c r="B29" s="58" t="s">
        <v>124</v>
      </c>
      <c r="C29" s="26">
        <v>0.02</v>
      </c>
      <c r="D29" s="1"/>
    </row>
    <row r="30" spans="1:4" x14ac:dyDescent="0.25">
      <c r="A30" s="1"/>
      <c r="B30" s="50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iGqOdpatMeDF0Pg90X2xHUdvW92mwdLuz1gdKqv2oTccEPp/KQ8vuTNzoDOWaET6U/WkmYYWT2eMZVMrKqHRjg==" saltValue="tXkf2CL2tqGa8ZmTBBde2w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183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0" t="s">
        <v>13</v>
      </c>
      <c r="C8" s="51"/>
      <c r="D8" s="20"/>
      <c r="E8" s="1"/>
    </row>
    <row r="9" spans="1:5" x14ac:dyDescent="0.25">
      <c r="A9" s="1"/>
      <c r="B9" s="46" t="s">
        <v>24</v>
      </c>
      <c r="C9" s="7">
        <f>'Fane 3. Omkostninger i ØR2021'!E20</f>
        <v>16138848.452554809</v>
      </c>
      <c r="D9" s="8" t="s">
        <v>3</v>
      </c>
      <c r="E9" s="1"/>
    </row>
    <row r="10" spans="1:5" x14ac:dyDescent="0.25">
      <c r="A10" s="1"/>
      <c r="B10" s="42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42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37564.077433269042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0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9920.6304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196926.68920148868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-112705.09459371804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-188678.08811363991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-201306.23045395396</v>
      </c>
      <c r="D21" s="8" t="s">
        <v>3</v>
      </c>
      <c r="E21" s="1"/>
    </row>
    <row r="22" spans="1:5" ht="17.100000000000001" customHeight="1" x14ac:dyDescent="0.25">
      <c r="A22" s="1"/>
      <c r="B22" s="59" t="s">
        <v>20</v>
      </c>
      <c r="C22" s="10">
        <f>SUM(C9,C12:C21)</f>
        <v>15843006.358994987</v>
      </c>
      <c r="D22" s="11" t="s">
        <v>3</v>
      </c>
      <c r="E22" s="1"/>
    </row>
    <row r="23" spans="1:5" ht="15" customHeight="1" x14ac:dyDescent="0.25">
      <c r="A23" s="1"/>
      <c r="B23" s="50" t="s">
        <v>12</v>
      </c>
      <c r="C23" s="51"/>
      <c r="D23" s="20"/>
      <c r="E23" s="1"/>
    </row>
    <row r="24" spans="1:5" ht="15" customHeight="1" x14ac:dyDescent="0.25">
      <c r="A24" s="1"/>
      <c r="B24" s="43" t="s">
        <v>12</v>
      </c>
      <c r="C24" s="10">
        <f>'Fane 6. Ikke-påvirkelige omk.'!C15</f>
        <v>11418887.990363829</v>
      </c>
      <c r="D24" s="11" t="s">
        <v>3</v>
      </c>
      <c r="E24" s="1"/>
    </row>
    <row r="25" spans="1:5" ht="15" customHeight="1" x14ac:dyDescent="0.25">
      <c r="A25" s="1"/>
      <c r="B25" s="50" t="s">
        <v>89</v>
      </c>
      <c r="C25" s="51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59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1"/>
      <c r="D29" s="20"/>
      <c r="E29" s="1"/>
    </row>
    <row r="30" spans="1:5" x14ac:dyDescent="0.25">
      <c r="A30" s="1"/>
      <c r="B30" s="62" t="s">
        <v>162</v>
      </c>
      <c r="C30" s="10">
        <f>'Fane 7. Kontrol af ØR2020'!E30</f>
        <v>218967.40375815146</v>
      </c>
      <c r="D30" s="11" t="s">
        <v>3</v>
      </c>
      <c r="E30" s="1"/>
    </row>
    <row r="31" spans="1:5" x14ac:dyDescent="0.25">
      <c r="A31" s="1"/>
      <c r="B31" s="36" t="s">
        <v>224</v>
      </c>
      <c r="C31" s="51"/>
      <c r="D31" s="20"/>
      <c r="E31" s="1"/>
    </row>
    <row r="32" spans="1:5" x14ac:dyDescent="0.25">
      <c r="A32" s="1"/>
      <c r="B32" s="62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0" t="s">
        <v>30</v>
      </c>
      <c r="C33" s="31">
        <f>SUM(C22,C24,C28,C30,C32)</f>
        <v>27480861.753116965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rd4kzu6BKM5w55afKA7uRUUkNWZ8CWTQs1GXaWZYIlKq4VZ5CMEcKmM/MTNc+ubQEEnK07Sm++3IOrOglazAFg==" saltValue="fivn7tiATR+SS7ugiG9En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184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0" t="s">
        <v>13</v>
      </c>
      <c r="C8" s="51"/>
      <c r="D8" s="20"/>
      <c r="E8" s="1"/>
    </row>
    <row r="9" spans="1:5" ht="15" customHeight="1" x14ac:dyDescent="0.25">
      <c r="A9" s="1"/>
      <c r="B9" s="46" t="s">
        <v>134</v>
      </c>
      <c r="C9" s="7">
        <f>'Fane 2.1. Økonomisk ramme 2022'!C22</f>
        <v>15843006.358994987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2" t="s">
        <v>18</v>
      </c>
      <c r="C12" s="9">
        <f>SUM(C9:C11)*'Fane 12. Nøgletal'!C14</f>
        <v>52281.920984683456</v>
      </c>
      <c r="D12" s="8" t="s">
        <v>3</v>
      </c>
      <c r="E12" s="1"/>
    </row>
    <row r="13" spans="1:5" ht="15" customHeight="1" x14ac:dyDescent="0.25">
      <c r="A13" s="1"/>
      <c r="B13" s="42" t="s">
        <v>9</v>
      </c>
      <c r="C13" s="9">
        <f>-SUM(C9:C12)*'Fane 5. Individuelt eff. krav'!G10</f>
        <v>-109599.49298953563</v>
      </c>
      <c r="D13" s="8" t="s">
        <v>3</v>
      </c>
      <c r="E13" s="1"/>
    </row>
    <row r="14" spans="1:5" ht="15" customHeight="1" x14ac:dyDescent="0.25">
      <c r="A14" s="1"/>
      <c r="B14" s="42" t="s">
        <v>25</v>
      </c>
      <c r="C14" s="9">
        <f>-'Fane 4.1. Gen. krav - drift'!G44</f>
        <v>-185514.71128832665</v>
      </c>
      <c r="D14" s="8" t="s">
        <v>3</v>
      </c>
      <c r="E14" s="1"/>
    </row>
    <row r="15" spans="1:5" ht="15" customHeight="1" x14ac:dyDescent="0.25">
      <c r="A15" s="1"/>
      <c r="B15" s="42" t="s">
        <v>26</v>
      </c>
      <c r="C15" s="9">
        <f>-'Fane 4.2. Gen. krav - anlæg'!G44</f>
        <v>-105775.96384423743</v>
      </c>
      <c r="D15" s="8" t="s">
        <v>3</v>
      </c>
      <c r="E15" s="1"/>
    </row>
    <row r="16" spans="1:5" ht="15" customHeight="1" x14ac:dyDescent="0.25">
      <c r="A16" s="1"/>
      <c r="B16" s="47" t="s">
        <v>20</v>
      </c>
      <c r="C16" s="10">
        <f>SUM(C9:C15)</f>
        <v>15494398.111857569</v>
      </c>
      <c r="D16" s="11" t="s">
        <v>3</v>
      </c>
      <c r="E16" s="1"/>
    </row>
    <row r="17" spans="1:5" x14ac:dyDescent="0.25">
      <c r="A17" s="1"/>
      <c r="B17" s="50" t="s">
        <v>12</v>
      </c>
      <c r="C17" s="51"/>
      <c r="D17" s="20"/>
      <c r="E17" s="1"/>
    </row>
    <row r="18" spans="1:5" ht="15" customHeight="1" x14ac:dyDescent="0.25">
      <c r="A18" s="1"/>
      <c r="B18" s="43" t="s">
        <v>12</v>
      </c>
      <c r="C18" s="10">
        <f>'Fane 6. Ikke-påvirkelige omk.'!C15*(1+'Fane 12. Nøgletal'!C14)</f>
        <v>11456570.320732031</v>
      </c>
      <c r="D18" s="11" t="s">
        <v>3</v>
      </c>
      <c r="E18" s="1"/>
    </row>
    <row r="19" spans="1:5" ht="15" customHeight="1" x14ac:dyDescent="0.25">
      <c r="A19" s="1"/>
      <c r="B19" s="50" t="s">
        <v>89</v>
      </c>
      <c r="C19" s="51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9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1"/>
      <c r="D23" s="20"/>
      <c r="E23" s="1"/>
    </row>
    <row r="24" spans="1:5" ht="15" customHeight="1" x14ac:dyDescent="0.25">
      <c r="A24" s="1"/>
      <c r="B24" s="62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224</v>
      </c>
      <c r="C25" s="51"/>
      <c r="D25" s="20"/>
      <c r="E25" s="1"/>
    </row>
    <row r="26" spans="1:5" x14ac:dyDescent="0.25">
      <c r="A26" s="1"/>
      <c r="B26" s="62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50" t="s">
        <v>97</v>
      </c>
      <c r="C27" s="12">
        <f>SUM(C16,C18,C22,C24,C26)</f>
        <v>26950968.432589598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2nX3A0rjjWlfBy6LWDHLE6cagircqqH6RabdRYIkXx4Vj4OWUaikKsmQxCd4wqVAA2+JnAhvw/8bHVz8fe+EbA==" saltValue="gL3Z4FJTJFMFpqYiZ8y6Z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185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0" t="s">
        <v>13</v>
      </c>
      <c r="C7" s="51"/>
      <c r="D7" s="20"/>
      <c r="E7" s="1"/>
    </row>
    <row r="8" spans="1:5" ht="15" customHeight="1" x14ac:dyDescent="0.25">
      <c r="A8" s="1"/>
      <c r="B8" s="46" t="s">
        <v>135</v>
      </c>
      <c r="C8" s="7">
        <f>'Fane 2.2. Økonomisk ramme 2023'!C16</f>
        <v>15494398.111857569</v>
      </c>
      <c r="D8" s="8" t="s">
        <v>3</v>
      </c>
      <c r="E8" s="1"/>
    </row>
    <row r="9" spans="1:5" ht="15" customHeight="1" x14ac:dyDescent="0.25">
      <c r="A9" s="1"/>
      <c r="B9" s="46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6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2" t="s">
        <v>18</v>
      </c>
      <c r="C11" s="9">
        <f>SUM(C8:C10)*'Fane 12. Nøgletal'!C14</f>
        <v>51131.513769129975</v>
      </c>
      <c r="D11" s="8" t="s">
        <v>3</v>
      </c>
      <c r="E11" s="1"/>
    </row>
    <row r="12" spans="1:5" ht="15" customHeight="1" x14ac:dyDescent="0.25">
      <c r="A12" s="1"/>
      <c r="B12" s="42" t="s">
        <v>9</v>
      </c>
      <c r="C12" s="9">
        <f>-SUM(C8:C11)*'Fane 5. Individuelt eff. krav'!G10</f>
        <v>-107187.8744953892</v>
      </c>
      <c r="D12" s="8" t="s">
        <v>3</v>
      </c>
      <c r="E12" s="1"/>
    </row>
    <row r="13" spans="1:5" ht="15" customHeight="1" x14ac:dyDescent="0.25">
      <c r="A13" s="1"/>
      <c r="B13" s="42" t="s">
        <v>25</v>
      </c>
      <c r="C13" s="9">
        <f>-'Fane 4.1. Gen. krav - drift'!G50</f>
        <v>-182404.37163886655</v>
      </c>
      <c r="D13" s="8" t="s">
        <v>3</v>
      </c>
      <c r="E13" s="1"/>
    </row>
    <row r="14" spans="1:5" ht="15" customHeight="1" x14ac:dyDescent="0.25">
      <c r="A14" s="1"/>
      <c r="B14" s="42" t="s">
        <v>26</v>
      </c>
      <c r="C14" s="38">
        <f>-'Fane 4.2. Gen. krav - anlæg'!G50</f>
        <v>-104554.37416195455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15151383.005330488</v>
      </c>
      <c r="D15" s="11" t="s">
        <v>3</v>
      </c>
      <c r="E15" s="1"/>
    </row>
    <row r="16" spans="1:5" x14ac:dyDescent="0.25">
      <c r="A16" s="1"/>
      <c r="B16" s="50" t="s">
        <v>12</v>
      </c>
      <c r="C16" s="51"/>
      <c r="D16" s="20"/>
      <c r="E16" s="1"/>
    </row>
    <row r="17" spans="1:5" ht="15" customHeight="1" x14ac:dyDescent="0.25">
      <c r="A17" s="1"/>
      <c r="B17" s="43" t="s">
        <v>12</v>
      </c>
      <c r="C17" s="10">
        <f>'Fane 6. Ikke-påvirkelige omk.'!C15*(1+'Fane 12. Nøgletal'!C14)^2</f>
        <v>11494377.002790447</v>
      </c>
      <c r="D17" s="11" t="s">
        <v>3</v>
      </c>
      <c r="E17" s="1"/>
    </row>
    <row r="18" spans="1:5" ht="15" customHeight="1" x14ac:dyDescent="0.25">
      <c r="A18" s="1"/>
      <c r="B18" s="50" t="s">
        <v>89</v>
      </c>
      <c r="C18" s="5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9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0" t="s">
        <v>161</v>
      </c>
      <c r="C22" s="51"/>
      <c r="D22" s="20"/>
      <c r="E22" s="1"/>
    </row>
    <row r="23" spans="1:5" x14ac:dyDescent="0.25">
      <c r="A23" s="1"/>
      <c r="B23" s="43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1"/>
      <c r="D24" s="20"/>
      <c r="E24" s="1"/>
    </row>
    <row r="25" spans="1:5" ht="15" customHeight="1" x14ac:dyDescent="0.25">
      <c r="A25" s="1"/>
      <c r="B25" s="62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0" t="s">
        <v>186</v>
      </c>
      <c r="C26" s="12">
        <f>SUM(C15,C17,C21,C23,C25)</f>
        <v>26645760.008120935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dCRaFlsAutovIRrSw5rJr6BZYH8IMg3TH9n/JNZShNzL1PzUyHPdlAMXDupHbT3diO8lGnwdrrAKBzWdsE5R6A==" saltValue="C9mes+/vPfcHAQoyDlN13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187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0" t="s">
        <v>13</v>
      </c>
      <c r="C7" s="51"/>
      <c r="D7" s="20"/>
      <c r="E7" s="1"/>
    </row>
    <row r="8" spans="1:5" ht="15" customHeight="1" x14ac:dyDescent="0.25">
      <c r="A8" s="1"/>
      <c r="B8" s="46" t="s">
        <v>188</v>
      </c>
      <c r="C8" s="7">
        <f>'Fane 2.3. Økonomisk ramme 2024'!C15</f>
        <v>15151383.005330488</v>
      </c>
      <c r="D8" s="8" t="s">
        <v>3</v>
      </c>
      <c r="E8" s="1"/>
    </row>
    <row r="9" spans="1:5" ht="15" customHeight="1" x14ac:dyDescent="0.25">
      <c r="A9" s="1"/>
      <c r="B9" s="46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6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2" t="s">
        <v>18</v>
      </c>
      <c r="C11" s="9">
        <f>SUM(C8:C10)*'Fane 12. Nøgletal'!C14</f>
        <v>49999.563917590611</v>
      </c>
      <c r="D11" s="8" t="s">
        <v>3</v>
      </c>
      <c r="E11" s="1"/>
    </row>
    <row r="12" spans="1:5" ht="15" customHeight="1" x14ac:dyDescent="0.25">
      <c r="A12" s="1"/>
      <c r="B12" s="42" t="s">
        <v>9</v>
      </c>
      <c r="C12" s="9">
        <f>-SUM(C8:C11)*'Fane 5. Individuelt eff. krav'!G10</f>
        <v>-104814.94849187377</v>
      </c>
      <c r="D12" s="8" t="s">
        <v>3</v>
      </c>
      <c r="E12" s="1"/>
    </row>
    <row r="13" spans="1:5" ht="15" customHeight="1" x14ac:dyDescent="0.25">
      <c r="A13" s="1"/>
      <c r="B13" s="42" t="s">
        <v>25</v>
      </c>
      <c r="C13" s="9">
        <f>-'Fane 4.1. Gen. krav - drift'!G56</f>
        <v>-179346.17994396933</v>
      </c>
      <c r="D13" s="8" t="s">
        <v>3</v>
      </c>
      <c r="E13" s="1"/>
    </row>
    <row r="14" spans="1:5" ht="15" customHeight="1" x14ac:dyDescent="0.25">
      <c r="A14" s="1"/>
      <c r="B14" s="42" t="s">
        <v>26</v>
      </c>
      <c r="C14" s="9">
        <f>-'Fane 4.2. Gen. krav - anlæg'!G56</f>
        <v>-103346.892423458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14813874.548388777</v>
      </c>
      <c r="D15" s="11" t="s">
        <v>3</v>
      </c>
      <c r="E15" s="1"/>
    </row>
    <row r="16" spans="1:5" x14ac:dyDescent="0.25">
      <c r="A16" s="1"/>
      <c r="B16" s="50" t="s">
        <v>12</v>
      </c>
      <c r="C16" s="51"/>
      <c r="D16" s="20"/>
      <c r="E16" s="1"/>
    </row>
    <row r="17" spans="1:5" ht="15" customHeight="1" x14ac:dyDescent="0.25">
      <c r="A17" s="1"/>
      <c r="B17" s="43" t="s">
        <v>12</v>
      </c>
      <c r="C17" s="10">
        <f>'Fane 6. Ikke-påvirkelige omk.'!C15*(1+'Fane 12. Nøgletal'!C14)^3</f>
        <v>11532308.446899656</v>
      </c>
      <c r="D17" s="11" t="s">
        <v>3</v>
      </c>
      <c r="E17" s="1"/>
    </row>
    <row r="18" spans="1:5" ht="15" customHeight="1" x14ac:dyDescent="0.25">
      <c r="A18" s="1"/>
      <c r="B18" s="50" t="s">
        <v>89</v>
      </c>
      <c r="C18" s="5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9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0" t="s">
        <v>161</v>
      </c>
      <c r="C22" s="51"/>
      <c r="D22" s="20"/>
      <c r="E22" s="1"/>
    </row>
    <row r="23" spans="1:5" x14ac:dyDescent="0.25">
      <c r="A23" s="1"/>
      <c r="B23" s="43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1"/>
      <c r="D24" s="20"/>
      <c r="E24" s="1"/>
    </row>
    <row r="25" spans="1:5" x14ac:dyDescent="0.25">
      <c r="A25" s="1"/>
      <c r="B25" s="62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0" t="s">
        <v>189</v>
      </c>
      <c r="C26" s="12">
        <f>SUM(C15,C17,C21,C23,C25)</f>
        <v>26346182.995288432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LiMbZ60KCh1mzZUuhzwJYanJy5CSKJ0LkDt+UFb0uinlu3FqgS80CQZaK03EKBF5bzTG3GVgn5HYUWlP2frGSw==" saltValue="XUhMlyecorzgT9yT9mZIl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7" t="s">
        <v>190</v>
      </c>
      <c r="C3" s="107"/>
      <c r="D3" s="107"/>
      <c r="E3" s="107"/>
      <c r="F3" s="107"/>
      <c r="G3" s="1"/>
    </row>
    <row r="4" spans="1:7" ht="29.25" customHeight="1" x14ac:dyDescent="0.25">
      <c r="A4" s="1"/>
      <c r="B4" s="107"/>
      <c r="C4" s="107"/>
      <c r="D4" s="107"/>
      <c r="E4" s="107"/>
      <c r="F4" s="10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0" t="s">
        <v>223</v>
      </c>
      <c r="C8" s="51"/>
      <c r="D8" s="51"/>
      <c r="E8" s="51"/>
      <c r="F8" s="20"/>
      <c r="G8" s="1"/>
    </row>
    <row r="9" spans="1:7" x14ac:dyDescent="0.25">
      <c r="A9" s="1"/>
      <c r="B9" s="108" t="s">
        <v>23</v>
      </c>
      <c r="C9" s="109"/>
      <c r="D9" s="110"/>
      <c r="E9" s="7">
        <v>16409108.333073281</v>
      </c>
      <c r="F9" s="8" t="s">
        <v>3</v>
      </c>
      <c r="G9" s="1"/>
    </row>
    <row r="10" spans="1:7" ht="15" customHeight="1" x14ac:dyDescent="0.25">
      <c r="A10" s="1"/>
      <c r="B10" s="93" t="s">
        <v>40</v>
      </c>
      <c r="C10" s="94"/>
      <c r="D10" s="95"/>
      <c r="E10" s="9">
        <v>0</v>
      </c>
      <c r="F10" s="8" t="s">
        <v>3</v>
      </c>
      <c r="G10" s="1"/>
    </row>
    <row r="11" spans="1:7" ht="15" customHeight="1" x14ac:dyDescent="0.25">
      <c r="A11" s="1"/>
      <c r="B11" s="93" t="s">
        <v>41</v>
      </c>
      <c r="C11" s="94"/>
      <c r="D11" s="95"/>
      <c r="E11" s="9">
        <v>38433.233999999997</v>
      </c>
      <c r="F11" s="8" t="s">
        <v>3</v>
      </c>
      <c r="G11" s="1"/>
    </row>
    <row r="12" spans="1:7" x14ac:dyDescent="0.25">
      <c r="A12" s="1"/>
      <c r="B12" s="93" t="s">
        <v>28</v>
      </c>
      <c r="C12" s="94"/>
      <c r="D12" s="95"/>
      <c r="E12" s="9">
        <v>0</v>
      </c>
      <c r="F12" s="8" t="s">
        <v>3</v>
      </c>
      <c r="G12" s="1"/>
    </row>
    <row r="13" spans="1:7" x14ac:dyDescent="0.25">
      <c r="A13" s="1"/>
      <c r="B13" s="93" t="s">
        <v>27</v>
      </c>
      <c r="C13" s="94"/>
      <c r="D13" s="95"/>
      <c r="E13" s="9">
        <v>0</v>
      </c>
      <c r="F13" s="8" t="s">
        <v>3</v>
      </c>
      <c r="G13" s="1"/>
    </row>
    <row r="14" spans="1:7" x14ac:dyDescent="0.25">
      <c r="A14" s="1"/>
      <c r="B14" s="93" t="s">
        <v>132</v>
      </c>
      <c r="C14" s="94"/>
      <c r="D14" s="95"/>
      <c r="E14" s="9">
        <v>0</v>
      </c>
      <c r="F14" s="8" t="s">
        <v>3</v>
      </c>
      <c r="G14" s="1"/>
    </row>
    <row r="15" spans="1:7" x14ac:dyDescent="0.25">
      <c r="A15" s="1"/>
      <c r="B15" s="93" t="s">
        <v>133</v>
      </c>
      <c r="C15" s="94"/>
      <c r="D15" s="95"/>
      <c r="E15" s="9">
        <v>0</v>
      </c>
      <c r="F15" s="8" t="s">
        <v>3</v>
      </c>
      <c r="G15" s="1"/>
    </row>
    <row r="16" spans="1:7" x14ac:dyDescent="0.25">
      <c r="A16" s="1"/>
      <c r="B16" s="93" t="s">
        <v>18</v>
      </c>
      <c r="C16" s="94"/>
      <c r="D16" s="95"/>
      <c r="E16" s="9">
        <v>200660.00711829402</v>
      </c>
      <c r="F16" s="8" t="s">
        <v>3</v>
      </c>
      <c r="G16" s="1"/>
    </row>
    <row r="17" spans="1:7" x14ac:dyDescent="0.25">
      <c r="A17" s="1"/>
      <c r="B17" s="93" t="s">
        <v>9</v>
      </c>
      <c r="C17" s="94"/>
      <c r="D17" s="95"/>
      <c r="E17" s="9">
        <v>-114790.90027056239</v>
      </c>
      <c r="F17" s="8" t="s">
        <v>3</v>
      </c>
      <c r="G17" s="1"/>
    </row>
    <row r="18" spans="1:7" x14ac:dyDescent="0.25">
      <c r="A18" s="1"/>
      <c r="B18" s="93" t="s">
        <v>25</v>
      </c>
      <c r="C18" s="94"/>
      <c r="D18" s="95"/>
      <c r="E18" s="9">
        <v>-190208.12224901095</v>
      </c>
      <c r="F18" s="8" t="s">
        <v>3</v>
      </c>
      <c r="G18" s="1"/>
    </row>
    <row r="19" spans="1:7" x14ac:dyDescent="0.25">
      <c r="A19" s="1"/>
      <c r="B19" s="93" t="s">
        <v>26</v>
      </c>
      <c r="C19" s="94"/>
      <c r="D19" s="95"/>
      <c r="E19" s="9">
        <v>-204354.09911719206</v>
      </c>
      <c r="F19" s="8" t="s">
        <v>3</v>
      </c>
      <c r="G19" s="1"/>
    </row>
    <row r="20" spans="1:7" x14ac:dyDescent="0.25">
      <c r="A20" s="1"/>
      <c r="B20" s="96" t="s">
        <v>20</v>
      </c>
      <c r="C20" s="97"/>
      <c r="D20" s="98"/>
      <c r="E20" s="10">
        <f>SUM(E9:E19)</f>
        <v>16138848.452554809</v>
      </c>
      <c r="F20" s="11" t="s">
        <v>3</v>
      </c>
      <c r="G20" s="1"/>
    </row>
    <row r="21" spans="1:7" x14ac:dyDescent="0.25">
      <c r="A21" s="1"/>
      <c r="B21" s="50" t="s">
        <v>12</v>
      </c>
      <c r="C21" s="51"/>
      <c r="D21" s="51"/>
      <c r="E21" s="51"/>
      <c r="F21" s="20"/>
      <c r="G21" s="1"/>
    </row>
    <row r="22" spans="1:7" x14ac:dyDescent="0.25">
      <c r="A22" s="1"/>
      <c r="B22" s="104" t="s">
        <v>12</v>
      </c>
      <c r="C22" s="105"/>
      <c r="D22" s="106"/>
      <c r="E22" s="10">
        <v>11718901.307743561</v>
      </c>
      <c r="F22" s="11" t="s">
        <v>3</v>
      </c>
      <c r="G22" s="1"/>
    </row>
    <row r="23" spans="1:7" ht="15" customHeight="1" x14ac:dyDescent="0.25">
      <c r="A23" s="1"/>
      <c r="B23" s="102" t="s">
        <v>89</v>
      </c>
      <c r="C23" s="103"/>
      <c r="D23" s="103"/>
      <c r="E23" s="51"/>
      <c r="F23" s="51"/>
      <c r="G23" s="1"/>
    </row>
    <row r="24" spans="1:7" ht="14.25" customHeight="1" x14ac:dyDescent="0.25">
      <c r="A24" s="1"/>
      <c r="B24" s="90" t="s">
        <v>85</v>
      </c>
      <c r="C24" s="91"/>
      <c r="D24" s="92"/>
      <c r="E24" s="9">
        <v>0</v>
      </c>
      <c r="F24" s="8" t="s">
        <v>3</v>
      </c>
      <c r="G24" s="1"/>
    </row>
    <row r="25" spans="1:7" ht="14.25" customHeight="1" x14ac:dyDescent="0.25">
      <c r="A25" s="1"/>
      <c r="B25" s="90" t="s">
        <v>86</v>
      </c>
      <c r="C25" s="91"/>
      <c r="D25" s="92"/>
      <c r="E25" s="9">
        <v>0</v>
      </c>
      <c r="F25" s="8" t="s">
        <v>3</v>
      </c>
      <c r="G25" s="1"/>
    </row>
    <row r="26" spans="1:7" x14ac:dyDescent="0.25">
      <c r="A26" s="1"/>
      <c r="B26" s="99" t="s">
        <v>90</v>
      </c>
      <c r="C26" s="100"/>
      <c r="D26" s="100"/>
      <c r="E26" s="10">
        <v>0</v>
      </c>
      <c r="F26" s="11" t="s">
        <v>3</v>
      </c>
      <c r="G26" s="1"/>
    </row>
    <row r="27" spans="1:7" x14ac:dyDescent="0.25">
      <c r="A27" s="1"/>
      <c r="B27" s="50" t="s">
        <v>161</v>
      </c>
      <c r="C27" s="51"/>
      <c r="D27" s="51"/>
      <c r="E27" s="51"/>
      <c r="F27" s="20"/>
      <c r="G27" s="1"/>
    </row>
    <row r="28" spans="1:7" ht="15" customHeight="1" x14ac:dyDescent="0.25">
      <c r="A28" s="1"/>
      <c r="B28" s="99" t="s">
        <v>162</v>
      </c>
      <c r="C28" s="100"/>
      <c r="D28" s="101"/>
      <c r="E28" s="10">
        <v>-218967.40375815146</v>
      </c>
      <c r="F28" s="11" t="s">
        <v>3</v>
      </c>
      <c r="G28" s="1"/>
    </row>
    <row r="29" spans="1:7" x14ac:dyDescent="0.25">
      <c r="A29" s="1"/>
      <c r="B29" s="50" t="s">
        <v>247</v>
      </c>
      <c r="C29" s="51"/>
      <c r="D29" s="51"/>
      <c r="E29" s="51"/>
      <c r="F29" s="20"/>
      <c r="G29" s="1"/>
    </row>
    <row r="30" spans="1:7" ht="15.6" customHeight="1" x14ac:dyDescent="0.25">
      <c r="A30" s="1"/>
      <c r="B30" s="104" t="s">
        <v>248</v>
      </c>
      <c r="C30" s="105"/>
      <c r="D30" s="106"/>
      <c r="E30" s="10">
        <v>6.547909528561501</v>
      </c>
      <c r="F30" s="11" t="s">
        <v>3</v>
      </c>
      <c r="G30" s="1"/>
    </row>
    <row r="31" spans="1:7" x14ac:dyDescent="0.25">
      <c r="A31" s="1"/>
      <c r="B31" s="50" t="s">
        <v>29</v>
      </c>
      <c r="C31" s="51"/>
      <c r="D31" s="51"/>
      <c r="E31" s="12">
        <f>E20+E22+E26+E28+E30</f>
        <v>27638788.904449746</v>
      </c>
      <c r="F31" s="13" t="s">
        <v>3</v>
      </c>
      <c r="G31" s="1"/>
    </row>
    <row r="32" spans="1:7" ht="27.75" customHeight="1" x14ac:dyDescent="0.25">
      <c r="A32" s="1"/>
      <c r="B32" s="90" t="s">
        <v>191</v>
      </c>
      <c r="C32" s="91"/>
      <c r="D32" s="91"/>
      <c r="E32" s="91"/>
      <c r="F32" s="9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rASTsiQUj88aTlTADq0fCgMUzkoJqNeiPMSDnjrw5FveKcq18oL+A7DY2Eshf0x6gPBSwb+EAxmUJ+ALQb4lUA==" saltValue="peGimEsV60wHW6xxfXe8dw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7" t="s">
        <v>115</v>
      </c>
      <c r="C1" s="107"/>
      <c r="D1" s="107"/>
      <c r="E1" s="107"/>
      <c r="F1" s="107"/>
      <c r="G1" s="107"/>
      <c r="H1" s="107"/>
      <c r="I1" s="1"/>
    </row>
    <row r="2" spans="1:9" ht="15" customHeight="1" x14ac:dyDescent="0.25">
      <c r="A2" s="1"/>
      <c r="B2" s="107"/>
      <c r="C2" s="107"/>
      <c r="D2" s="107"/>
      <c r="E2" s="107"/>
      <c r="F2" s="107"/>
      <c r="G2" s="107"/>
      <c r="H2" s="107"/>
      <c r="I2" s="1"/>
    </row>
    <row r="3" spans="1:9" ht="15" customHeight="1" x14ac:dyDescent="0.25">
      <c r="A3" s="1"/>
      <c r="B3" s="107"/>
      <c r="C3" s="107"/>
      <c r="D3" s="107"/>
      <c r="E3" s="107"/>
      <c r="F3" s="107"/>
      <c r="G3" s="107"/>
      <c r="H3" s="107"/>
      <c r="I3" s="1"/>
    </row>
    <row r="4" spans="1:9" x14ac:dyDescent="0.25">
      <c r="A4" s="1"/>
      <c r="B4" s="114" t="s">
        <v>54</v>
      </c>
      <c r="C4" s="115"/>
      <c r="D4" s="115"/>
      <c r="E4" s="115"/>
      <c r="F4" s="115"/>
      <c r="G4" s="115"/>
      <c r="H4" s="116"/>
      <c r="I4" s="1"/>
    </row>
    <row r="5" spans="1:9" x14ac:dyDescent="0.25">
      <c r="A5" s="1"/>
      <c r="B5" s="111" t="s">
        <v>43</v>
      </c>
      <c r="C5" s="112"/>
      <c r="D5" s="112"/>
      <c r="E5" s="112"/>
      <c r="F5" s="113"/>
      <c r="G5" s="24">
        <v>9727273</v>
      </c>
      <c r="H5" s="14" t="s">
        <v>3</v>
      </c>
      <c r="I5" s="1"/>
    </row>
    <row r="6" spans="1:9" x14ac:dyDescent="0.25">
      <c r="A6" s="1"/>
      <c r="B6" s="111" t="s">
        <v>44</v>
      </c>
      <c r="C6" s="112"/>
      <c r="D6" s="112"/>
      <c r="E6" s="112"/>
      <c r="F6" s="113"/>
      <c r="G6" s="24">
        <f>G5*'Fane 12. Nøgletal'!C29</f>
        <v>194545.46</v>
      </c>
      <c r="H6" s="14" t="s">
        <v>3</v>
      </c>
      <c r="I6" s="1"/>
    </row>
    <row r="7" spans="1:9" x14ac:dyDescent="0.2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4" t="s">
        <v>55</v>
      </c>
      <c r="C9" s="115"/>
      <c r="D9" s="115"/>
      <c r="E9" s="115"/>
      <c r="F9" s="115"/>
      <c r="G9" s="115"/>
      <c r="H9" s="116"/>
      <c r="I9" s="1"/>
    </row>
    <row r="10" spans="1:9" x14ac:dyDescent="0.25">
      <c r="A10" s="1"/>
      <c r="B10" s="111" t="s">
        <v>45</v>
      </c>
      <c r="C10" s="112"/>
      <c r="D10" s="112"/>
      <c r="E10" s="112"/>
      <c r="F10" s="113"/>
      <c r="G10" s="24">
        <f>(G5-G6)*(1+'Fane 12. Nøgletal'!C9)</f>
        <v>9653793.1797579993</v>
      </c>
      <c r="H10" s="14" t="s">
        <v>3</v>
      </c>
      <c r="I10" s="1"/>
    </row>
    <row r="11" spans="1:9" x14ac:dyDescent="0.25">
      <c r="A11" s="1"/>
      <c r="B11" s="117" t="s">
        <v>46</v>
      </c>
      <c r="C11" s="118"/>
      <c r="D11" s="118"/>
      <c r="E11" s="118"/>
      <c r="F11" s="119"/>
      <c r="G11" s="9">
        <v>0</v>
      </c>
      <c r="H11" s="14" t="s">
        <v>3</v>
      </c>
      <c r="I11" s="1"/>
    </row>
    <row r="12" spans="1:9" x14ac:dyDescent="0.25">
      <c r="A12" s="1"/>
      <c r="B12" s="111" t="s">
        <v>47</v>
      </c>
      <c r="C12" s="112"/>
      <c r="D12" s="112"/>
      <c r="E12" s="112"/>
      <c r="F12" s="113"/>
      <c r="G12" s="24">
        <f>(G10+G11)*'Fane 12. Nøgletal'!C29</f>
        <v>193075.86359515999</v>
      </c>
      <c r="H12" s="14" t="s">
        <v>3</v>
      </c>
      <c r="I12" s="1"/>
    </row>
    <row r="13" spans="1:9" x14ac:dyDescent="0.2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4" t="s">
        <v>56</v>
      </c>
      <c r="C15" s="115"/>
      <c r="D15" s="115"/>
      <c r="E15" s="115"/>
      <c r="F15" s="115"/>
      <c r="G15" s="115"/>
      <c r="H15" s="116"/>
      <c r="I15" s="1"/>
    </row>
    <row r="16" spans="1:9" x14ac:dyDescent="0.25">
      <c r="A16" s="1"/>
      <c r="B16" s="111" t="s">
        <v>48</v>
      </c>
      <c r="C16" s="112"/>
      <c r="D16" s="112"/>
      <c r="E16" s="112"/>
      <c r="F16" s="113"/>
      <c r="G16" s="24">
        <f>(G10+G11-G12)*(1+'Fane 12. Nøgletal'!C11)</f>
        <v>9620603.4388059899</v>
      </c>
      <c r="H16" s="14" t="s">
        <v>3</v>
      </c>
      <c r="I16" s="1"/>
    </row>
    <row r="17" spans="1:9" x14ac:dyDescent="0.25">
      <c r="A17" s="1"/>
      <c r="B17" s="111" t="s">
        <v>125</v>
      </c>
      <c r="C17" s="112"/>
      <c r="D17" s="112"/>
      <c r="E17" s="112"/>
      <c r="F17" s="113"/>
      <c r="G17" s="24">
        <v>0.38634940250020416</v>
      </c>
      <c r="H17" s="14" t="s">
        <v>3</v>
      </c>
      <c r="I17" s="1"/>
    </row>
    <row r="18" spans="1:9" x14ac:dyDescent="0.25">
      <c r="A18" s="1"/>
      <c r="B18" s="117" t="s">
        <v>49</v>
      </c>
      <c r="C18" s="118"/>
      <c r="D18" s="118"/>
      <c r="E18" s="118"/>
      <c r="F18" s="119"/>
      <c r="G18" s="9">
        <v>0</v>
      </c>
      <c r="H18" s="14" t="s">
        <v>3</v>
      </c>
      <c r="I18" s="1"/>
    </row>
    <row r="19" spans="1:9" x14ac:dyDescent="0.25">
      <c r="A19" s="1"/>
      <c r="B19" s="111" t="s">
        <v>50</v>
      </c>
      <c r="C19" s="112"/>
      <c r="D19" s="112"/>
      <c r="E19" s="112"/>
      <c r="F19" s="113"/>
      <c r="G19" s="24">
        <f>SUM(G16:G18)*'Fane 12. Nøgletal'!C29</f>
        <v>192412.07650310785</v>
      </c>
      <c r="H19" s="14" t="s">
        <v>3</v>
      </c>
      <c r="I19" s="1"/>
    </row>
    <row r="20" spans="1:9" x14ac:dyDescent="0.2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4" t="s">
        <v>57</v>
      </c>
      <c r="C22" s="115"/>
      <c r="D22" s="115"/>
      <c r="E22" s="115"/>
      <c r="F22" s="115"/>
      <c r="G22" s="115"/>
      <c r="H22" s="116"/>
      <c r="I22" s="1"/>
    </row>
    <row r="23" spans="1:9" x14ac:dyDescent="0.25">
      <c r="A23" s="1"/>
      <c r="B23" s="111" t="s">
        <v>51</v>
      </c>
      <c r="C23" s="112"/>
      <c r="D23" s="112"/>
      <c r="E23" s="112"/>
      <c r="F23" s="113"/>
      <c r="G23" s="24">
        <f>(SUM(G16:G18)-G19)*(1+'Fane 12. Nøgletal'!C11)</f>
        <v>9587528.1892045084</v>
      </c>
      <c r="H23" s="14" t="s">
        <v>3</v>
      </c>
      <c r="I23" s="1"/>
    </row>
    <row r="24" spans="1:9" x14ac:dyDescent="0.25">
      <c r="A24" s="1"/>
      <c r="B24" s="117" t="s">
        <v>52</v>
      </c>
      <c r="C24" s="118"/>
      <c r="D24" s="118"/>
      <c r="E24" s="118"/>
      <c r="F24" s="119"/>
      <c r="G24" s="9">
        <v>0</v>
      </c>
      <c r="H24" s="14" t="s">
        <v>3</v>
      </c>
      <c r="I24" s="1"/>
    </row>
    <row r="25" spans="1:9" x14ac:dyDescent="0.25">
      <c r="A25" s="1"/>
      <c r="B25" s="111" t="s">
        <v>53</v>
      </c>
      <c r="C25" s="112"/>
      <c r="D25" s="112"/>
      <c r="E25" s="112"/>
      <c r="F25" s="113"/>
      <c r="G25" s="24">
        <f>(G23+G24)*'Fane 12. Nøgletal'!C29</f>
        <v>191750.56378409016</v>
      </c>
      <c r="H25" s="14" t="s">
        <v>3</v>
      </c>
      <c r="I25" s="1"/>
    </row>
    <row r="26" spans="1:9" x14ac:dyDescent="0.2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4" t="s">
        <v>175</v>
      </c>
      <c r="C28" s="115"/>
      <c r="D28" s="115"/>
      <c r="E28" s="115"/>
      <c r="F28" s="115"/>
      <c r="G28" s="115"/>
      <c r="H28" s="116"/>
      <c r="I28" s="1"/>
    </row>
    <row r="29" spans="1:9" x14ac:dyDescent="0.25">
      <c r="A29" s="1"/>
      <c r="B29" s="111" t="s">
        <v>60</v>
      </c>
      <c r="C29" s="112"/>
      <c r="D29" s="112"/>
      <c r="E29" s="112"/>
      <c r="F29" s="113"/>
      <c r="G29" s="24">
        <f>(G23+G24-G25)*(1+'Fane 12. Nøgletal'!C13)</f>
        <v>9510406.1124505475</v>
      </c>
      <c r="H29" s="14" t="s">
        <v>3</v>
      </c>
      <c r="I29" s="1"/>
    </row>
    <row r="30" spans="1:9" x14ac:dyDescent="0.25">
      <c r="A30" s="1"/>
      <c r="B30" s="111" t="s">
        <v>147</v>
      </c>
      <c r="C30" s="112"/>
      <c r="D30" s="112"/>
      <c r="E30" s="112"/>
      <c r="F30" s="113"/>
      <c r="G30" s="9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1" t="s">
        <v>159</v>
      </c>
      <c r="C31" s="112"/>
      <c r="D31" s="112"/>
      <c r="E31" s="112"/>
      <c r="F31" s="113"/>
      <c r="G31" s="24">
        <f>(G29+G30)*'Fane 12. Nøgletal'!C29</f>
        <v>190208.12224901095</v>
      </c>
      <c r="H31" s="14" t="s">
        <v>3</v>
      </c>
      <c r="I31" s="1"/>
    </row>
    <row r="32" spans="1:9" x14ac:dyDescent="0.2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4" t="s">
        <v>176</v>
      </c>
      <c r="C34" s="115"/>
      <c r="D34" s="115"/>
      <c r="E34" s="115"/>
      <c r="F34" s="115"/>
      <c r="G34" s="115"/>
      <c r="H34" s="116"/>
      <c r="I34" s="1"/>
    </row>
    <row r="35" spans="1:9" x14ac:dyDescent="0.25">
      <c r="A35" s="1"/>
      <c r="B35" s="111" t="s">
        <v>80</v>
      </c>
      <c r="C35" s="112"/>
      <c r="D35" s="112"/>
      <c r="E35" s="112"/>
      <c r="F35" s="113"/>
      <c r="G35" s="24">
        <f>(G29+G30-G31)*(1+'Fane 12. Nøgletal'!C13)</f>
        <v>9433904.4056819957</v>
      </c>
      <c r="H35" s="14" t="s">
        <v>3</v>
      </c>
      <c r="I35" s="1"/>
    </row>
    <row r="36" spans="1:9" x14ac:dyDescent="0.25">
      <c r="A36" s="1"/>
      <c r="B36" s="37" t="s">
        <v>192</v>
      </c>
      <c r="C36" s="56"/>
      <c r="D36" s="56"/>
      <c r="E36" s="56"/>
      <c r="F36" s="57"/>
      <c r="G36" s="9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1" t="s">
        <v>221</v>
      </c>
      <c r="C37" s="112"/>
      <c r="D37" s="112"/>
      <c r="E37" s="112"/>
      <c r="F37" s="113"/>
      <c r="G37" s="9">
        <f>SUM('Fane 2.1. Økonomisk ramme 2022'!C12,'Fane 2.1. Økonomisk ramme 2022'!C14,'Fane 2.1. Økonomisk ramme 2022'!C16)*(1+'Fane 12. Nøgletal'!C14)</f>
        <v>0</v>
      </c>
      <c r="H37" s="14" t="s">
        <v>3</v>
      </c>
      <c r="I37" s="1"/>
    </row>
    <row r="38" spans="1:9" x14ac:dyDescent="0.25">
      <c r="A38" s="1"/>
      <c r="B38" s="111" t="s">
        <v>177</v>
      </c>
      <c r="C38" s="112"/>
      <c r="D38" s="112"/>
      <c r="E38" s="112"/>
      <c r="F38" s="113"/>
      <c r="G38" s="24">
        <f>(G35+G37)*'Fane 12. Nøgletal'!C29</f>
        <v>188678.08811363991</v>
      </c>
      <c r="H38" s="14" t="s">
        <v>3</v>
      </c>
      <c r="I38" s="1"/>
    </row>
    <row r="39" spans="1:9" x14ac:dyDescent="0.2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4" t="s">
        <v>81</v>
      </c>
      <c r="C41" s="115"/>
      <c r="D41" s="115"/>
      <c r="E41" s="115"/>
      <c r="F41" s="115"/>
      <c r="G41" s="115"/>
      <c r="H41" s="116"/>
      <c r="I41" s="1"/>
    </row>
    <row r="42" spans="1:9" x14ac:dyDescent="0.25">
      <c r="A42" s="1"/>
      <c r="B42" s="111" t="s">
        <v>79</v>
      </c>
      <c r="C42" s="112"/>
      <c r="D42" s="112"/>
      <c r="E42" s="112"/>
      <c r="F42" s="113"/>
      <c r="G42" s="24">
        <f>(G35+G37-G38)*(1+'Fane 12. Nøgletal'!C14)</f>
        <v>9275735.5644163322</v>
      </c>
      <c r="H42" s="14" t="s">
        <v>3</v>
      </c>
      <c r="I42" s="1"/>
    </row>
    <row r="43" spans="1:9" x14ac:dyDescent="0.25">
      <c r="A43" s="1"/>
      <c r="B43" s="111" t="s">
        <v>92</v>
      </c>
      <c r="C43" s="112"/>
      <c r="D43" s="112"/>
      <c r="E43" s="112"/>
      <c r="F43" s="113"/>
      <c r="G43" s="9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1" t="s">
        <v>61</v>
      </c>
      <c r="C44" s="112"/>
      <c r="D44" s="112"/>
      <c r="E44" s="112"/>
      <c r="F44" s="113"/>
      <c r="G44" s="24">
        <f>(G42+G43)*'Fane 12. Nøgletal'!C29</f>
        <v>185514.71128832665</v>
      </c>
      <c r="H44" s="14" t="s">
        <v>3</v>
      </c>
      <c r="I44" s="1"/>
    </row>
    <row r="45" spans="1:9" x14ac:dyDescent="0.2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4" t="s">
        <v>148</v>
      </c>
      <c r="C47" s="115"/>
      <c r="D47" s="115"/>
      <c r="E47" s="115"/>
      <c r="F47" s="115"/>
      <c r="G47" s="115"/>
      <c r="H47" s="116"/>
      <c r="I47" s="1"/>
    </row>
    <row r="48" spans="1:9" x14ac:dyDescent="0.25">
      <c r="A48" s="1"/>
      <c r="B48" s="111" t="s">
        <v>149</v>
      </c>
      <c r="C48" s="112"/>
      <c r="D48" s="112"/>
      <c r="E48" s="112"/>
      <c r="F48" s="113"/>
      <c r="G48" s="24">
        <f>(G42+G43-G44)*(1+'Fane 12. Nøgletal'!C14)</f>
        <v>9120218.5819433276</v>
      </c>
      <c r="H48" s="14" t="s">
        <v>3</v>
      </c>
      <c r="I48" s="1"/>
    </row>
    <row r="49" spans="1:9" x14ac:dyDescent="0.25">
      <c r="A49" s="1"/>
      <c r="B49" s="111" t="s">
        <v>150</v>
      </c>
      <c r="C49" s="112"/>
      <c r="D49" s="112"/>
      <c r="E49" s="112"/>
      <c r="F49" s="113"/>
      <c r="G49" s="9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1" t="s">
        <v>151</v>
      </c>
      <c r="C50" s="112"/>
      <c r="D50" s="112"/>
      <c r="E50" s="112"/>
      <c r="F50" s="113"/>
      <c r="G50" s="24">
        <f>(G48+G49)*'Fane 12. Nøgletal'!C29</f>
        <v>182404.37163886655</v>
      </c>
      <c r="H50" s="14" t="s">
        <v>3</v>
      </c>
      <c r="I50" s="1"/>
    </row>
    <row r="51" spans="1:9" x14ac:dyDescent="0.25">
      <c r="A51" s="1"/>
      <c r="B51" s="50"/>
      <c r="C51" s="51"/>
      <c r="D51" s="51"/>
      <c r="E51" s="51"/>
      <c r="F51" s="51"/>
      <c r="G51" s="51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4" t="s">
        <v>198</v>
      </c>
      <c r="C53" s="115"/>
      <c r="D53" s="115"/>
      <c r="E53" s="115"/>
      <c r="F53" s="115"/>
      <c r="G53" s="115"/>
      <c r="H53" s="116"/>
      <c r="I53" s="1"/>
    </row>
    <row r="54" spans="1:9" x14ac:dyDescent="0.25">
      <c r="A54" s="1"/>
      <c r="B54" s="111" t="s">
        <v>199</v>
      </c>
      <c r="C54" s="112"/>
      <c r="D54" s="112"/>
      <c r="E54" s="112"/>
      <c r="F54" s="113"/>
      <c r="G54" s="24">
        <f>(G48+G49-G50)*(1+'Fane 12. Nøgletal'!C14)</f>
        <v>8967308.9971984662</v>
      </c>
      <c r="H54" s="14" t="s">
        <v>3</v>
      </c>
      <c r="I54" s="1"/>
    </row>
    <row r="55" spans="1:9" x14ac:dyDescent="0.25">
      <c r="A55" s="1"/>
      <c r="B55" s="111" t="s">
        <v>200</v>
      </c>
      <c r="C55" s="112"/>
      <c r="D55" s="112"/>
      <c r="E55" s="112"/>
      <c r="F55" s="113"/>
      <c r="G55" s="9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1" t="s">
        <v>201</v>
      </c>
      <c r="C56" s="112"/>
      <c r="D56" s="112"/>
      <c r="E56" s="112"/>
      <c r="F56" s="113"/>
      <c r="G56" s="24">
        <f>(G54+G55)*'Fane 12. Nøgletal'!C29</f>
        <v>179346.17994396933</v>
      </c>
      <c r="H56" s="14" t="s">
        <v>3</v>
      </c>
      <c r="I56" s="1"/>
    </row>
    <row r="57" spans="1:9" x14ac:dyDescent="0.25">
      <c r="A57" s="1"/>
      <c r="B57" s="50"/>
      <c r="C57" s="51"/>
      <c r="D57" s="51"/>
      <c r="E57" s="51"/>
      <c r="F57" s="51"/>
      <c r="G57" s="51"/>
      <c r="H57" s="20"/>
      <c r="I57" s="1"/>
    </row>
  </sheetData>
  <sheetProtection algorithmName="SHA-512" hashValue="J0ulfJbwnKOqXnWS1yF/hZNROIolzEK2GTIZF77p+zDplk90KCSSqPfy6fF4udHkuxQZPPVQlJA0o+KOgvjftw==" saltValue="EPp+I6yaPnRbxg7Wmv4oiA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7" t="s">
        <v>116</v>
      </c>
      <c r="C1" s="107"/>
      <c r="D1" s="107"/>
      <c r="E1" s="107"/>
      <c r="F1" s="107"/>
      <c r="G1" s="107"/>
      <c r="H1" s="107"/>
      <c r="I1" s="1"/>
    </row>
    <row r="2" spans="1:9" ht="15" customHeight="1" x14ac:dyDescent="0.25">
      <c r="A2" s="1"/>
      <c r="B2" s="107"/>
      <c r="C2" s="107"/>
      <c r="D2" s="107"/>
      <c r="E2" s="107"/>
      <c r="F2" s="107"/>
      <c r="G2" s="107"/>
      <c r="H2" s="107"/>
      <c r="I2" s="1"/>
    </row>
    <row r="3" spans="1:9" ht="15" customHeight="1" x14ac:dyDescent="0.25">
      <c r="A3" s="1"/>
      <c r="B3" s="107"/>
      <c r="C3" s="107"/>
      <c r="D3" s="107"/>
      <c r="E3" s="107"/>
      <c r="F3" s="107"/>
      <c r="G3" s="107"/>
      <c r="H3" s="107"/>
      <c r="I3" s="1"/>
    </row>
    <row r="4" spans="1:9" x14ac:dyDescent="0.25">
      <c r="A4" s="1"/>
      <c r="B4" s="114" t="s">
        <v>58</v>
      </c>
      <c r="C4" s="115"/>
      <c r="D4" s="115"/>
      <c r="E4" s="115"/>
      <c r="F4" s="115"/>
      <c r="G4" s="115"/>
      <c r="H4" s="116"/>
      <c r="I4" s="1"/>
    </row>
    <row r="5" spans="1:9" x14ac:dyDescent="0.25">
      <c r="A5" s="1"/>
      <c r="B5" s="111" t="s">
        <v>62</v>
      </c>
      <c r="C5" s="112"/>
      <c r="D5" s="112"/>
      <c r="E5" s="112"/>
      <c r="F5" s="113"/>
      <c r="G5" s="24">
        <v>6762099</v>
      </c>
      <c r="H5" s="14" t="s">
        <v>3</v>
      </c>
      <c r="I5" s="1"/>
    </row>
    <row r="6" spans="1:9" x14ac:dyDescent="0.25">
      <c r="A6" s="1"/>
      <c r="B6" s="111" t="s">
        <v>59</v>
      </c>
      <c r="C6" s="112"/>
      <c r="D6" s="112"/>
      <c r="E6" s="112"/>
      <c r="F6" s="113"/>
      <c r="G6" s="24">
        <f>G5*'Fane 12. Nøgletal'!C19</f>
        <v>61535.100900000005</v>
      </c>
      <c r="H6" s="14" t="s">
        <v>3</v>
      </c>
      <c r="I6" s="1"/>
    </row>
    <row r="7" spans="1:9" x14ac:dyDescent="0.25">
      <c r="A7" s="1"/>
      <c r="B7" s="66"/>
      <c r="C7" s="67"/>
      <c r="D7" s="67"/>
      <c r="E7" s="67"/>
      <c r="F7" s="67"/>
      <c r="G7" s="67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4" t="s">
        <v>63</v>
      </c>
      <c r="C9" s="115"/>
      <c r="D9" s="115"/>
      <c r="E9" s="115"/>
      <c r="F9" s="115"/>
      <c r="G9" s="115"/>
      <c r="H9" s="116"/>
      <c r="I9" s="1"/>
    </row>
    <row r="10" spans="1:9" x14ac:dyDescent="0.25">
      <c r="A10" s="1"/>
      <c r="B10" s="111" t="s">
        <v>64</v>
      </c>
      <c r="C10" s="112"/>
      <c r="D10" s="112"/>
      <c r="E10" s="112"/>
      <c r="F10" s="113"/>
      <c r="G10" s="24">
        <f>(G5-G6)*(1+'Fane 12. Nøgletal'!C9)</f>
        <v>6785661.0606185691</v>
      </c>
      <c r="H10" s="14" t="s">
        <v>3</v>
      </c>
      <c r="I10" s="1"/>
    </row>
    <row r="11" spans="1:9" x14ac:dyDescent="0.25">
      <c r="A11" s="1"/>
      <c r="B11" s="117" t="s">
        <v>65</v>
      </c>
      <c r="C11" s="118"/>
      <c r="D11" s="118"/>
      <c r="E11" s="118"/>
      <c r="F11" s="119"/>
      <c r="G11" s="9">
        <v>0</v>
      </c>
      <c r="H11" s="14" t="s">
        <v>3</v>
      </c>
      <c r="I11" s="1"/>
    </row>
    <row r="12" spans="1:9" x14ac:dyDescent="0.25">
      <c r="A12" s="1"/>
      <c r="B12" s="111" t="s">
        <v>66</v>
      </c>
      <c r="C12" s="112"/>
      <c r="D12" s="112"/>
      <c r="E12" s="112"/>
      <c r="F12" s="113"/>
      <c r="G12" s="24">
        <f>G10*'Fane 12. Nøgletal'!C19+G11*'Fane 12. Nøgletal'!C20</f>
        <v>61749.515651628979</v>
      </c>
      <c r="H12" s="14" t="s">
        <v>3</v>
      </c>
      <c r="I12" s="1"/>
    </row>
    <row r="13" spans="1:9" x14ac:dyDescent="0.25">
      <c r="A13" s="1"/>
      <c r="B13" s="66"/>
      <c r="C13" s="67"/>
      <c r="D13" s="67"/>
      <c r="E13" s="67"/>
      <c r="F13" s="67"/>
      <c r="G13" s="67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4" t="s">
        <v>67</v>
      </c>
      <c r="C15" s="115"/>
      <c r="D15" s="115"/>
      <c r="E15" s="115"/>
      <c r="F15" s="115"/>
      <c r="G15" s="115"/>
      <c r="H15" s="116"/>
      <c r="I15" s="1"/>
    </row>
    <row r="16" spans="1:9" x14ac:dyDescent="0.25">
      <c r="A16" s="1"/>
      <c r="B16" s="111" t="s">
        <v>68</v>
      </c>
      <c r="C16" s="112"/>
      <c r="D16" s="112"/>
      <c r="E16" s="112"/>
      <c r="F16" s="113"/>
      <c r="G16" s="24">
        <f>(G10+G11-G12)*(1+'Fane 12. Nøgletal'!C11)</f>
        <v>6837545.6500768801</v>
      </c>
      <c r="H16" s="14" t="s">
        <v>3</v>
      </c>
      <c r="I16" s="1"/>
    </row>
    <row r="17" spans="1:9" x14ac:dyDescent="0.25">
      <c r="A17" s="1"/>
      <c r="B17" s="111" t="s">
        <v>126</v>
      </c>
      <c r="C17" s="112"/>
      <c r="D17" s="112"/>
      <c r="E17" s="112"/>
      <c r="F17" s="113"/>
      <c r="G17" s="24">
        <v>278023.44281723525</v>
      </c>
      <c r="H17" s="14" t="s">
        <v>3</v>
      </c>
      <c r="I17" s="1"/>
    </row>
    <row r="18" spans="1:9" x14ac:dyDescent="0.25">
      <c r="A18" s="1"/>
      <c r="B18" s="117" t="s">
        <v>69</v>
      </c>
      <c r="C18" s="118"/>
      <c r="D18" s="118"/>
      <c r="E18" s="118"/>
      <c r="F18" s="119"/>
      <c r="G18" s="9">
        <v>0</v>
      </c>
      <c r="H18" s="14" t="s">
        <v>3</v>
      </c>
      <c r="I18" s="1"/>
    </row>
    <row r="19" spans="1:9" x14ac:dyDescent="0.25">
      <c r="A19" s="1"/>
      <c r="B19" s="111" t="s">
        <v>70</v>
      </c>
      <c r="C19" s="112"/>
      <c r="D19" s="112"/>
      <c r="E19" s="112"/>
      <c r="F19" s="113"/>
      <c r="G19" s="24">
        <f>(G16+G17+G18)*'Fane 12. Nøgletal'!C21</f>
        <v>61905.4511081788</v>
      </c>
      <c r="H19" s="14" t="s">
        <v>3</v>
      </c>
      <c r="I19" s="1"/>
    </row>
    <row r="20" spans="1:9" x14ac:dyDescent="0.25">
      <c r="A20" s="1"/>
      <c r="B20" s="66"/>
      <c r="C20" s="67"/>
      <c r="D20" s="67"/>
      <c r="E20" s="67"/>
      <c r="F20" s="67"/>
      <c r="G20" s="67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4" t="s">
        <v>71</v>
      </c>
      <c r="C22" s="115"/>
      <c r="D22" s="115"/>
      <c r="E22" s="115"/>
      <c r="F22" s="115"/>
      <c r="G22" s="115"/>
      <c r="H22" s="116"/>
      <c r="I22" s="1"/>
    </row>
    <row r="23" spans="1:9" x14ac:dyDescent="0.25">
      <c r="A23" s="1"/>
      <c r="B23" s="111" t="s">
        <v>72</v>
      </c>
      <c r="C23" s="112"/>
      <c r="D23" s="112"/>
      <c r="E23" s="112"/>
      <c r="F23" s="113"/>
      <c r="G23" s="24">
        <f>(SUM(G16:G18)-G19)*(1+'Fane 12. Nøgletal'!C11)</f>
        <v>7172870.557332118</v>
      </c>
      <c r="H23" s="14" t="s">
        <v>3</v>
      </c>
      <c r="I23" s="1"/>
    </row>
    <row r="24" spans="1:9" x14ac:dyDescent="0.25">
      <c r="A24" s="1"/>
      <c r="B24" s="117" t="s">
        <v>73</v>
      </c>
      <c r="C24" s="118"/>
      <c r="D24" s="118"/>
      <c r="E24" s="118"/>
      <c r="F24" s="119"/>
      <c r="G24" s="9">
        <v>198221.62460657037</v>
      </c>
      <c r="H24" s="14" t="s">
        <v>3</v>
      </c>
      <c r="I24" s="1"/>
    </row>
    <row r="25" spans="1:9" x14ac:dyDescent="0.25">
      <c r="A25" s="1"/>
      <c r="B25" s="111" t="s">
        <v>74</v>
      </c>
      <c r="C25" s="112"/>
      <c r="D25" s="112"/>
      <c r="E25" s="112"/>
      <c r="F25" s="113"/>
      <c r="G25" s="24">
        <f>G23*'Fane 12. Nøgletal'!C21+G24*'Fane 12. Nøgletal'!C22</f>
        <v>68033.467987616023</v>
      </c>
      <c r="H25" s="14" t="s">
        <v>3</v>
      </c>
      <c r="I25" s="1"/>
    </row>
    <row r="26" spans="1:9" x14ac:dyDescent="0.25">
      <c r="A26" s="1"/>
      <c r="B26" s="66"/>
      <c r="C26" s="67"/>
      <c r="D26" s="67"/>
      <c r="E26" s="67"/>
      <c r="F26" s="67"/>
      <c r="G26" s="67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4" t="s">
        <v>173</v>
      </c>
      <c r="C28" s="115"/>
      <c r="D28" s="115"/>
      <c r="E28" s="115"/>
      <c r="F28" s="115"/>
      <c r="G28" s="115"/>
      <c r="H28" s="116"/>
      <c r="I28" s="1"/>
    </row>
    <row r="29" spans="1:9" x14ac:dyDescent="0.25">
      <c r="A29" s="1"/>
      <c r="B29" s="111" t="s">
        <v>75</v>
      </c>
      <c r="C29" s="112"/>
      <c r="D29" s="112"/>
      <c r="E29" s="112"/>
      <c r="F29" s="113"/>
      <c r="G29" s="24">
        <f>(G23+G24-G25)*(1+'Fane 12. Nøgletal'!C13)</f>
        <v>7392156.0302612754</v>
      </c>
      <c r="H29" s="14" t="s">
        <v>3</v>
      </c>
      <c r="I29" s="1"/>
    </row>
    <row r="30" spans="1:9" x14ac:dyDescent="0.25">
      <c r="A30" s="1"/>
      <c r="B30" s="111" t="s">
        <v>152</v>
      </c>
      <c r="C30" s="112"/>
      <c r="D30" s="112"/>
      <c r="E30" s="112"/>
      <c r="F30" s="113"/>
      <c r="G30" s="9">
        <v>38902.119454799998</v>
      </c>
      <c r="H30" s="14" t="s">
        <v>3</v>
      </c>
      <c r="I30" s="1"/>
    </row>
    <row r="31" spans="1:9" x14ac:dyDescent="0.25">
      <c r="A31" s="1"/>
      <c r="B31" s="111" t="s">
        <v>174</v>
      </c>
      <c r="C31" s="112"/>
      <c r="D31" s="112"/>
      <c r="E31" s="112"/>
      <c r="F31" s="113"/>
      <c r="G31" s="24">
        <f>(G29+G30)*'Fane 12. Nøgletal'!C23</f>
        <v>204354.09911719209</v>
      </c>
      <c r="H31" s="14" t="s">
        <v>3</v>
      </c>
      <c r="I31" s="1"/>
    </row>
    <row r="32" spans="1:9" x14ac:dyDescent="0.25">
      <c r="A32" s="1"/>
      <c r="B32" s="66"/>
      <c r="C32" s="67"/>
      <c r="D32" s="67"/>
      <c r="E32" s="67"/>
      <c r="F32" s="67"/>
      <c r="G32" s="67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4" t="s">
        <v>178</v>
      </c>
      <c r="C34" s="115"/>
      <c r="D34" s="115"/>
      <c r="E34" s="115"/>
      <c r="F34" s="115"/>
      <c r="G34" s="115"/>
      <c r="H34" s="116"/>
      <c r="I34" s="1"/>
    </row>
    <row r="35" spans="1:9" x14ac:dyDescent="0.25">
      <c r="A35" s="1"/>
      <c r="B35" s="111" t="s">
        <v>78</v>
      </c>
      <c r="C35" s="112"/>
      <c r="D35" s="112"/>
      <c r="E35" s="112"/>
      <c r="F35" s="113"/>
      <c r="G35" s="24">
        <f>(G29+G30-G31)*(1+'Fane 12. Nøgletal'!C13)</f>
        <v>7314869.840016189</v>
      </c>
      <c r="H35" s="14" t="s">
        <v>3</v>
      </c>
      <c r="I35" s="1"/>
    </row>
    <row r="36" spans="1:9" x14ac:dyDescent="0.25">
      <c r="A36" s="1"/>
      <c r="B36" s="37" t="s">
        <v>222</v>
      </c>
      <c r="C36" s="68"/>
      <c r="D36" s="68"/>
      <c r="E36" s="68"/>
      <c r="F36" s="69"/>
      <c r="G36" s="9">
        <f>SUM('Fane 2.1. Økonomisk ramme 2022'!C11)*(1+'Fane 12. Nøgletal'!C14)</f>
        <v>37688.03888879883</v>
      </c>
      <c r="H36" s="14" t="s">
        <v>3</v>
      </c>
      <c r="I36" s="1"/>
    </row>
    <row r="37" spans="1:9" x14ac:dyDescent="0.25">
      <c r="A37" s="1"/>
      <c r="B37" s="111" t="s">
        <v>193</v>
      </c>
      <c r="C37" s="112"/>
      <c r="D37" s="112"/>
      <c r="E37" s="112"/>
      <c r="F37" s="113"/>
      <c r="G37" s="9">
        <f>SUM('Fane 2.1. Økonomisk ramme 2022'!C13,'Fane 2.1. Økonomisk ramme 2022'!C15,'Fane 2.1. Økonomisk ramme 2022'!C17)*(1+'Fane 12. Nøgletal'!C14)</f>
        <v>9953.3684803200013</v>
      </c>
      <c r="H37" s="14" t="s">
        <v>3</v>
      </c>
      <c r="I37" s="1"/>
    </row>
    <row r="38" spans="1:9" x14ac:dyDescent="0.25">
      <c r="A38" s="1"/>
      <c r="B38" s="111" t="s">
        <v>179</v>
      </c>
      <c r="C38" s="112"/>
      <c r="D38" s="112"/>
      <c r="E38" s="112"/>
      <c r="F38" s="113"/>
      <c r="G38" s="24">
        <f>G35*'Fane 12. Nøgletal'!C23+G37*'Fane 12. Nøgletal'!C24</f>
        <v>201306.23045395396</v>
      </c>
      <c r="H38" s="14" t="s">
        <v>3</v>
      </c>
      <c r="I38" s="1"/>
    </row>
    <row r="39" spans="1:9" x14ac:dyDescent="0.25">
      <c r="A39" s="1"/>
      <c r="B39" s="66"/>
      <c r="C39" s="67"/>
      <c r="D39" s="67"/>
      <c r="E39" s="67"/>
      <c r="F39" s="67"/>
      <c r="G39" s="67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4" t="s">
        <v>82</v>
      </c>
      <c r="C41" s="115"/>
      <c r="D41" s="115"/>
      <c r="E41" s="115"/>
      <c r="F41" s="115"/>
      <c r="G41" s="115"/>
      <c r="H41" s="116"/>
      <c r="I41" s="1"/>
    </row>
    <row r="42" spans="1:9" x14ac:dyDescent="0.25">
      <c r="A42" s="1"/>
      <c r="B42" s="111" t="s">
        <v>77</v>
      </c>
      <c r="C42" s="112"/>
      <c r="D42" s="112"/>
      <c r="E42" s="112"/>
      <c r="F42" s="113"/>
      <c r="G42" s="24">
        <f>(G35+G37-G38)*(1+'Fane 12. Nøgletal'!C14)</f>
        <v>7147024.5840700958</v>
      </c>
      <c r="H42" s="14" t="s">
        <v>3</v>
      </c>
      <c r="I42" s="1"/>
    </row>
    <row r="43" spans="1:9" x14ac:dyDescent="0.25">
      <c r="A43" s="1"/>
      <c r="B43" s="111" t="s">
        <v>96</v>
      </c>
      <c r="C43" s="112"/>
      <c r="D43" s="112"/>
      <c r="E43" s="112"/>
      <c r="F43" s="113"/>
      <c r="G43" s="9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1" t="s">
        <v>76</v>
      </c>
      <c r="C44" s="112"/>
      <c r="D44" s="112"/>
      <c r="E44" s="112"/>
      <c r="F44" s="113"/>
      <c r="G44" s="24">
        <f>(G42+G43)*'Fane 12. Nøgletal'!C24</f>
        <v>105775.96384423743</v>
      </c>
      <c r="H44" s="14" t="s">
        <v>3</v>
      </c>
      <c r="I44" s="1"/>
    </row>
    <row r="45" spans="1:9" x14ac:dyDescent="0.25">
      <c r="A45" s="1"/>
      <c r="B45" s="66"/>
      <c r="C45" s="67"/>
      <c r="D45" s="67"/>
      <c r="E45" s="67"/>
      <c r="F45" s="67"/>
      <c r="G45" s="67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4" t="s">
        <v>153</v>
      </c>
      <c r="C47" s="115"/>
      <c r="D47" s="115"/>
      <c r="E47" s="115"/>
      <c r="F47" s="115"/>
      <c r="G47" s="115"/>
      <c r="H47" s="116"/>
      <c r="I47" s="1"/>
    </row>
    <row r="48" spans="1:9" x14ac:dyDescent="0.25">
      <c r="A48" s="1"/>
      <c r="B48" s="111" t="s">
        <v>154</v>
      </c>
      <c r="C48" s="112"/>
      <c r="D48" s="112"/>
      <c r="E48" s="112"/>
      <c r="F48" s="113"/>
      <c r="G48" s="24">
        <f>(G42+G43-G44)*(1+'Fane 12. Nøgletal'!C14)</f>
        <v>7064484.7406726042</v>
      </c>
      <c r="H48" s="14" t="s">
        <v>3</v>
      </c>
      <c r="I48" s="1"/>
    </row>
    <row r="49" spans="1:9" x14ac:dyDescent="0.25">
      <c r="A49" s="1"/>
      <c r="B49" s="111" t="s">
        <v>155</v>
      </c>
      <c r="C49" s="112"/>
      <c r="D49" s="112"/>
      <c r="E49" s="112"/>
      <c r="F49" s="113"/>
      <c r="G49" s="9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1" t="s">
        <v>156</v>
      </c>
      <c r="C50" s="112"/>
      <c r="D50" s="112"/>
      <c r="E50" s="112"/>
      <c r="F50" s="113"/>
      <c r="G50" s="24">
        <f>(G48+G49)*'Fane 12. Nøgletal'!C24</f>
        <v>104554.37416195455</v>
      </c>
      <c r="H50" s="14" t="s">
        <v>3</v>
      </c>
      <c r="I50" s="1"/>
    </row>
    <row r="51" spans="1:9" x14ac:dyDescent="0.25">
      <c r="A51" s="1"/>
      <c r="B51" s="66"/>
      <c r="C51" s="67"/>
      <c r="D51" s="67"/>
      <c r="E51" s="67"/>
      <c r="F51" s="67"/>
      <c r="G51" s="67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4" t="s">
        <v>194</v>
      </c>
      <c r="C53" s="115"/>
      <c r="D53" s="115"/>
      <c r="E53" s="115"/>
      <c r="F53" s="115"/>
      <c r="G53" s="115"/>
      <c r="H53" s="116"/>
      <c r="I53" s="1"/>
    </row>
    <row r="54" spans="1:9" x14ac:dyDescent="0.25">
      <c r="A54" s="1"/>
      <c r="B54" s="111" t="s">
        <v>195</v>
      </c>
      <c r="C54" s="112"/>
      <c r="D54" s="112"/>
      <c r="E54" s="112"/>
      <c r="F54" s="113"/>
      <c r="G54" s="24">
        <f>(G48+G49-G50)*(1+'Fane 12. Nøgletal'!C14)</f>
        <v>6982898.1367201349</v>
      </c>
      <c r="H54" s="14" t="s">
        <v>3</v>
      </c>
      <c r="I54" s="1"/>
    </row>
    <row r="55" spans="1:9" x14ac:dyDescent="0.25">
      <c r="A55" s="1"/>
      <c r="B55" s="111" t="s">
        <v>196</v>
      </c>
      <c r="C55" s="112"/>
      <c r="D55" s="112"/>
      <c r="E55" s="112"/>
      <c r="F55" s="113"/>
      <c r="G55" s="9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1" t="s">
        <v>197</v>
      </c>
      <c r="C56" s="112"/>
      <c r="D56" s="112"/>
      <c r="E56" s="112"/>
      <c r="F56" s="113"/>
      <c r="G56" s="24">
        <f>(G54+G55)*'Fane 12. Nøgletal'!C24</f>
        <v>103346.892423458</v>
      </c>
      <c r="H56" s="14" t="s">
        <v>3</v>
      </c>
      <c r="I56" s="1"/>
    </row>
    <row r="57" spans="1:9" x14ac:dyDescent="0.25">
      <c r="A57" s="1"/>
      <c r="B57" s="66"/>
      <c r="C57" s="67"/>
      <c r="D57" s="67"/>
      <c r="E57" s="67"/>
      <c r="F57" s="67"/>
      <c r="G57" s="67"/>
      <c r="H57" s="20"/>
      <c r="I57" s="1"/>
    </row>
  </sheetData>
  <sheetProtection algorithmName="SHA-512" hashValue="BCuyYwFrLXfFslSlIrn1YT1jDPvSfuYy7uIiv7nSkydleKewZkYkvppe47PJZKuoGLMJFAONA4RltqdkTtKVKA==" saltValue="TyTcHcMhWKXbOwtHloLb0A==" spinCount="100000" sheet="1" objects="1" scenarios="1"/>
  <mergeCells count="37"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53:H53"/>
    <mergeCell ref="B54:F54"/>
    <mergeCell ref="B55:F55"/>
    <mergeCell ref="B56:F56"/>
    <mergeCell ref="B35:F35"/>
    <mergeCell ref="B44:F44"/>
    <mergeCell ref="B31:F31"/>
    <mergeCell ref="B34:H34"/>
    <mergeCell ref="B22:H22"/>
    <mergeCell ref="B23:F23"/>
    <mergeCell ref="B24:F24"/>
    <mergeCell ref="B25:F25"/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4" t="s">
        <v>9</v>
      </c>
      <c r="C8" s="115"/>
      <c r="D8" s="115"/>
      <c r="E8" s="115"/>
      <c r="F8" s="115"/>
      <c r="G8" s="115"/>
      <c r="H8" s="116"/>
      <c r="I8" s="1"/>
    </row>
    <row r="9" spans="1:9" x14ac:dyDescent="0.25">
      <c r="A9" s="1"/>
      <c r="B9" s="111" t="s">
        <v>105</v>
      </c>
      <c r="C9" s="112"/>
      <c r="D9" s="112"/>
      <c r="E9" s="112"/>
      <c r="F9" s="113"/>
      <c r="G9" s="39">
        <v>7.7322139606293078E-3</v>
      </c>
      <c r="H9" s="14"/>
      <c r="I9" s="1"/>
    </row>
    <row r="10" spans="1:9" x14ac:dyDescent="0.25">
      <c r="A10" s="1"/>
      <c r="B10" s="111" t="s">
        <v>141</v>
      </c>
      <c r="C10" s="112"/>
      <c r="D10" s="112"/>
      <c r="E10" s="112"/>
      <c r="F10" s="113"/>
      <c r="G10" s="39">
        <v>6.8950931281679031E-3</v>
      </c>
      <c r="H10" s="14"/>
      <c r="I10" s="1"/>
    </row>
    <row r="11" spans="1:9" x14ac:dyDescent="0.25">
      <c r="A11" s="1"/>
      <c r="B11" s="50"/>
      <c r="C11" s="51"/>
      <c r="D11" s="51"/>
      <c r="E11" s="51"/>
      <c r="F11" s="51"/>
      <c r="G11" s="51"/>
      <c r="H11" s="20"/>
      <c r="I11" s="1"/>
    </row>
    <row r="12" spans="1:9" ht="14.25" customHeight="1" x14ac:dyDescent="0.25">
      <c r="A12" s="1"/>
      <c r="B12" s="120" t="s">
        <v>191</v>
      </c>
      <c r="C12" s="121"/>
      <c r="D12" s="121"/>
      <c r="E12" s="121"/>
      <c r="F12" s="121"/>
      <c r="G12" s="121"/>
      <c r="H12" s="122"/>
      <c r="I12" s="1"/>
    </row>
    <row r="13" spans="1:9" ht="12.75" customHeight="1" x14ac:dyDescent="0.25">
      <c r="A13" s="18"/>
      <c r="B13" s="123"/>
      <c r="C13" s="124"/>
      <c r="D13" s="124"/>
      <c r="E13" s="124"/>
      <c r="F13" s="124"/>
      <c r="G13" s="124"/>
      <c r="H13" s="125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Z1cKCgEeAtMCTzUhhEzZ/LVFrkSPRp304NLfSH92kyR7ITKE9fSOLCOZi+TU8fnAAW9nBub8hLkEOQ3k+VcvVw==" saltValue="c7SdmgLGMgDmV73a8F8L1g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2021-09-07T12:17:53Z</dcterms:modified>
</cp:coreProperties>
</file>