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VALLENSBÆK AS (S098)\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Korrektion af ØR2021"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Z_8BCA264E_FE70_4497_B667_7DCB6C5E8A89_.wvu.Cols" localSheetId="1" hidden="1">'Fane 2.1. Økonomisk ramme 2023'!$C:$D</definedName>
    <definedName name="Z_8BCA264E_FE70_4497_B667_7DCB6C5E8A89_.wvu.Cols" localSheetId="2" hidden="1">'Fane 2.2. Økonomisk ramme 2024'!$C:$D</definedName>
    <definedName name="Z_8BCA264E_FE70_4497_B667_7DCB6C5E8A89_.wvu.Cols" localSheetId="3" hidden="1">'Fane 2.3. Økonomisk ramme 2025'!$C:$D</definedName>
    <definedName name="Z_8BCA264E_FE70_4497_B667_7DCB6C5E8A89_.wvu.Cols" localSheetId="4" hidden="1">'Fane 2.4. Økonomisk ramme 2026'!$C:$D</definedName>
  </definedNames>
  <calcPr calcId="162913"/>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C12" i="7" l="1"/>
  <c r="E31" i="6" l="1"/>
  <c r="E19" i="5"/>
  <c r="E19" i="4"/>
  <c r="E20" i="3"/>
  <c r="E33" i="2"/>
  <c r="G18" i="17" l="1"/>
  <c r="C17" i="5" l="1"/>
  <c r="C17" i="4"/>
  <c r="C18" i="3"/>
  <c r="E26" i="8" l="1"/>
  <c r="E30" i="8" l="1"/>
  <c r="E32" i="8" s="1"/>
  <c r="E17" i="5" l="1"/>
  <c r="E18" i="3"/>
  <c r="E17" i="4"/>
  <c r="E28" i="2"/>
  <c r="J11" i="10" l="1"/>
  <c r="H11" i="10"/>
  <c r="E16" i="13" l="1"/>
  <c r="E17" i="13" s="1"/>
  <c r="E10" i="2" l="1"/>
  <c r="C12" i="12" l="1"/>
  <c r="C13" i="12" s="1"/>
  <c r="E23" i="2" s="1"/>
  <c r="E12" i="12"/>
  <c r="E13" i="12" s="1"/>
  <c r="E24" i="2" s="1"/>
  <c r="E25" i="2" l="1"/>
  <c r="E26" i="2" s="1"/>
  <c r="E14" i="6"/>
  <c r="E15" i="6" s="1"/>
  <c r="E11" i="2"/>
  <c r="E16" i="6" l="1"/>
  <c r="E24" i="6" l="1"/>
  <c r="E32" i="6" s="1"/>
  <c r="E21" i="13" l="1"/>
  <c r="E26" i="13"/>
  <c r="E27" i="13" l="1"/>
  <c r="E15" i="5" s="1"/>
  <c r="E22" i="13"/>
  <c r="E15" i="4" s="1"/>
  <c r="F10" i="10"/>
  <c r="F11" i="10" s="1"/>
  <c r="E12" i="9"/>
  <c r="E16" i="9" l="1"/>
  <c r="E17" i="9" s="1"/>
  <c r="E31" i="2" s="1"/>
  <c r="E11" i="13" l="1"/>
  <c r="E12" i="13" s="1"/>
  <c r="E21" i="2" s="1"/>
  <c r="E9" i="2" l="1"/>
  <c r="E16" i="3" l="1"/>
  <c r="E12" i="15"/>
  <c r="E13" i="15" s="1"/>
  <c r="C12" i="15"/>
  <c r="C13" i="15" s="1"/>
  <c r="E13" i="2" l="1"/>
  <c r="C10" i="11" l="1"/>
  <c r="E11" i="14"/>
  <c r="E12" i="14" s="1"/>
  <c r="C11" i="14"/>
  <c r="C12" i="14" s="1"/>
  <c r="C13" i="7"/>
  <c r="E13" i="5" s="1"/>
  <c r="E14" i="2" l="1"/>
  <c r="C12" i="11"/>
  <c r="C13" i="11" s="1"/>
  <c r="E19" i="2"/>
  <c r="E13" i="4"/>
  <c r="E14" i="3"/>
  <c r="E10" i="11" l="1"/>
  <c r="E12" i="11" s="1"/>
  <c r="E13" i="11" l="1"/>
  <c r="E12" i="2" s="1"/>
  <c r="E15" i="2" s="1"/>
  <c r="E16" i="2" s="1"/>
  <c r="E17" i="2" l="1"/>
  <c r="E34" i="2" s="1"/>
  <c r="E9" i="3" l="1"/>
  <c r="E10" i="3" l="1"/>
  <c r="E11" i="3" s="1"/>
  <c r="E12" i="3" s="1"/>
  <c r="E21" i="3" s="1"/>
  <c r="E8" i="4" l="1"/>
  <c r="E9" i="4" s="1"/>
  <c r="E10" i="4" s="1"/>
  <c r="E11" i="4" s="1"/>
  <c r="E20" i="4" s="1"/>
  <c r="E8" i="5" l="1"/>
  <c r="E9" i="5" l="1"/>
  <c r="E10" i="5" s="1"/>
  <c r="E11" i="5" s="1"/>
  <c r="E20" i="5" s="1"/>
</calcChain>
</file>

<file path=xl/sharedStrings.xml><?xml version="1.0" encoding="utf-8"?>
<sst xmlns="http://schemas.openxmlformats.org/spreadsheetml/2006/main" count="433" uniqueCount="189">
  <si>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</si>
  <si>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</si>
  <si>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</si>
  <si>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</si>
  <si>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</si>
  <si>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</si>
  <si>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</si>
  <si>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</si>
  <si>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</si>
  <si>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</si>
  <si>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</si>
  <si>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</si>
  <si>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</si>
  <si>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</si>
  <si>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</si>
  <si>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</si>
  <si>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</si>
  <si>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</si>
  <si>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</si>
  <si>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</si>
  <si>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</si>
  <si>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</si>
  <si>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</si>
  <si>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Økonomisk ramme for 2022</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</si>
  <si>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</si>
  <si>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</si>
  <si>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</si>
  <si>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</si>
  <si>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</si>
  <si>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</si>
  <si>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</si>
  <si>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</si>
  <si>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</si>
  <si>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</si>
  <si>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</si>
  <si>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</si>
  <si>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</si>
  <si>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</si>
  <si>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</si>
  <si>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</si>
  <si>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</si>
  <si>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</si>
  <si>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</si>
  <si>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</si>
  <si>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</si>
  <si>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</si>
  <si>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Fane 10</t>
  </si>
  <si>
    <t>Korrektion af tidligere godkendte omkostninger til medfinansiering af klimatilpasningsprojekter</t>
  </si>
  <si>
    <t>Engangstillæg til de økonomiske rammer for 2023</t>
  </si>
  <si>
    <t>Tillæg til tilbagebetaling af vejbidrag</t>
  </si>
  <si>
    <t>Fane 4: Ikke-påvirkelige omkostninger</t>
  </si>
  <si>
    <t>Tillæg til den økonomiske ramme for 2023</t>
  </si>
  <si>
    <t>Samlede tillæg til periodevise driftsomkostninger jf. indmeldte oprensningsplan</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</si>
  <si>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</si>
  <si>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</si>
  <si>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</si>
  <si>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</si>
  <si>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</si>
  <si>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</si>
  <si>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</si>
  <si>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</si>
  <si>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</si>
  <si>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</si>
  <si>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</si>
  <si>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</si>
  <si>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</si>
  <si>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</si>
  <si>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</si>
  <si>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</si>
  <si>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</si>
  <si>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</si>
  <si>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</si>
  <si>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</si>
  <si>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</si>
  <si>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Samlet økonomisk ramme for 2023</t>
  </si>
  <si>
    <t>Fane 3</t>
  </si>
  <si>
    <t>Vejledende økonomisk ramme for 2025</t>
  </si>
  <si>
    <t>Korrektion af den økonomiske ramme for 2020</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</si>
  <si>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</si>
  <si>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</si>
  <si>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</si>
  <si>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</si>
  <si>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</si>
  <si>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</si>
  <si>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</si>
  <si>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</si>
  <si>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</si>
  <si>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</si>
  <si>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</si>
  <si>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</si>
  <si>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</si>
  <si>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</si>
  <si>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</si>
  <si>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</si>
  <si>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</si>
  <si>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</si>
  <si>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</si>
  <si>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</si>
  <si>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</si>
  <si>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 </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</si>
  <si>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</si>
  <si>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</si>
  <si>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</si>
  <si>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</si>
  <si>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</si>
  <si>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</si>
  <si>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Videreførte omkostninger fra den økonomiske ramme for 2023</t>
  </si>
  <si>
    <t>Fane 2.3: Samlet økonomisk ramme for 2025</t>
  </si>
  <si>
    <t>Videreførte omkostninger fra den økonomiske ramme for 2025</t>
  </si>
  <si>
    <t>Fane 2.4: Samlet økonomisk ramme for 2026</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</si>
  <si>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</si>
  <si>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</si>
  <si>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</si>
  <si>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</si>
  <si>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</si>
  <si>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</si>
  <si>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</si>
  <si>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Tillæg til den økonomiske ramme for 2026</t>
  </si>
  <si>
    <t>Over/underdækning i 2020</t>
  </si>
  <si>
    <t>Kontrol med overholdelse af den økonomiske ramme for 2021</t>
  </si>
  <si>
    <t>Indtægtsramme i den økonomiske ramme for 2021</t>
  </si>
  <si>
    <t>Faktiske indtægter i 2021</t>
  </si>
  <si>
    <t>Fane 6: Korrektioner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</si>
  <si>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</si>
  <si>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</si>
  <si>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</si>
  <si>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</si>
  <si>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</si>
  <si>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</si>
  <si>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</si>
  <si>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</si>
  <si>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</si>
  <si>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</si>
  <si>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</si>
  <si>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</si>
  <si>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Indtægter fra tilbagebetalt skat eller sambeskatningsbidrag som følge af skattesagen</t>
  </si>
  <si>
    <t>Nedsættelse af den økonomiske ramme som følge af skattesagen</t>
  </si>
  <si>
    <t>- Heraf nye omkostninger i ØR21</t>
  </si>
  <si>
    <t>Bortfald eller nedsættelse i alt i 2021-prisniveau</t>
  </si>
  <si>
    <t>Periodevise driftsomkostninger i alt i 2021-prisniveau</t>
  </si>
  <si>
    <t xml:space="preserve">Til statusmeddelelse for 2023 </t>
  </si>
  <si>
    <t>Effektiviseringskrav på engangstillæg</t>
  </si>
  <si>
    <t>Engangstillæg i alt i 2021-prisniveau</t>
  </si>
  <si>
    <t>Engangstillæg i alt i 2023-privniveau</t>
  </si>
  <si>
    <t>Vejledende økonomisk ramme for 2024</t>
  </si>
  <si>
    <t>Anlægsprojekter (§ 19)</t>
  </si>
  <si>
    <t>Omkostninger i 2021</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</si>
  <si>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</si>
  <si>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</si>
  <si>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</si>
  <si>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</si>
  <si>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</si>
  <si>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</si>
  <si>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</si>
  <si>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</si>
  <si>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</si>
  <si>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</si>
  <si>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</si>
  <si>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</si>
  <si>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</si>
  <si>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</si>
  <si>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</si>
  <si>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</si>
  <si>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</si>
  <si>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</si>
  <si>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Ingen anlægsprojekter</t>
  </si>
  <si>
    <t>Afgift til Forsyningssekretariatet</t>
  </si>
  <si>
    <t>Køb af ydelser og produkter fra andre vandselskaber reguleret af vandsektorloven</t>
  </si>
  <si>
    <t>Resultat af kontrol med overholdelse af den økonomiske rammer for 2021</t>
  </si>
  <si>
    <t>Ingen tilknyttet virksomhed under hovedvirksomheden</t>
  </si>
  <si>
    <t>Indregnet fradrag i økonomisk ramme for 2024</t>
  </si>
  <si>
    <t>Indregnet fradrag i økonomisk ramme for 2025</t>
  </si>
  <si>
    <t>Indregnet fradrag i økonomisk ramme for 2026</t>
  </si>
  <si>
    <t>Indregnet fradrag i økonomisk ramme for 2027</t>
  </si>
  <si>
    <t>Letbanen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</si>
  <si>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</si>
  <si>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</si>
  <si>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</si>
  <si>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</si>
  <si>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</si>
  <si>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</si>
  <si>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</si>
  <si>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</si>
  <si>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Fane 8</t>
  </si>
  <si>
    <t>Fane 9.1</t>
  </si>
  <si>
    <t>Fane 9.2</t>
  </si>
  <si>
    <t>Fane 13</t>
  </si>
  <si>
    <t>Ingen engangstillæg</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</si>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</sst>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 #,##0_-;_-* &quot;-&quot;??_-;_-@_-"/>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4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6" xfId="0" applyFont="1" applyFill="1" applyBorder="1" applyAlignment="1" applyProtection="1"/>
    <xf numFmtId="0" fontId="8" fillId="4" borderId="3" xfId="0" applyFont="1" applyFill="1" applyBorder="1" applyAlignment="1" applyProtection="1"/>
    <xf numFmtId="0" fontId="14" fillId="7" borderId="1" xfId="0" applyFont="1" applyFill="1" applyBorder="1" applyAlignment="1" applyProtection="1"/>
    <xf numFmtId="49" fontId="8" fillId="7" borderId="1" xfId="0" applyNumberFormat="1" applyFont="1" applyFill="1" applyBorder="1" applyAlignment="1" applyProtection="1">
      <alignment wrapText="1"/>
    </xf>
    <xf numFmtId="1" fontId="14" fillId="7" borderId="1" xfId="0" applyNumberFormat="1" applyFont="1" applyFill="1" applyBorder="1" applyAlignment="1" applyProtection="1"/>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9" borderId="1" xfId="0" applyFont="1" applyFill="1" applyBorder="1" applyAlignment="1" applyProtection="1"/>
    <xf numFmtId="0" fontId="8" fillId="9" borderId="1" xfId="0" applyFont="1" applyFill="1" applyBorder="1" applyAlignment="1" applyProtection="1">
      <alignment wrapText="1"/>
    </xf>
    <xf numFmtId="10" fontId="14" fillId="0" borderId="3" xfId="3" applyNumberFormat="1" applyFont="1" applyFill="1" applyBorder="1" applyAlignment="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6" fillId="3" borderId="1" xfId="0" applyFont="1" applyFill="1" applyBorder="1" applyAlignment="1" applyProtection="1"/>
    <xf numFmtId="3" fontId="16" fillId="3" borderId="1" xfId="0" applyNumberFormat="1" applyFont="1" applyFill="1" applyBorder="1" applyProtection="1"/>
    <xf numFmtId="0" fontId="16" fillId="3" borderId="1"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0" fontId="8" fillId="0" borderId="1" xfId="0" applyFont="1" applyFill="1" applyBorder="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5" fontId="14" fillId="7" borderId="1" xfId="4" applyNumberFormat="1" applyFont="1" applyFill="1" applyBorder="1" applyAlignment="1" applyProtection="1"/>
    <xf numFmtId="0" fontId="2" fillId="2" borderId="0" xfId="0" applyFont="1" applyFill="1" applyAlignment="1" applyProtection="1">
      <alignment horizontal="center" vertical="center"/>
    </xf>
    <xf numFmtId="0" fontId="8" fillId="7" borderId="1" xfId="0" quotePrefix="1" applyFont="1" applyFill="1" applyBorder="1" applyAlignment="1" applyProtection="1">
      <alignmen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5" fillId="4" borderId="1" xfId="0" applyFont="1" applyFill="1" applyBorder="1" applyAlignment="1" applyProtection="1"/>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6" fontId="8" fillId="4" borderId="1" xfId="0" applyNumberFormat="1" applyFont="1" applyFill="1" applyBorder="1" applyProtection="1"/>
  </cellXfs>
  <cellStyles count="5">
    <cellStyle name="Komma" xfId="4" builtinId="3"/>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7"/>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99</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86" t="s">
        <v>4</v>
      </c>
      <c r="E6" s="86"/>
      <c r="F6" s="86"/>
      <c r="G6" s="86"/>
      <c r="H6" s="3"/>
      <c r="I6" s="1"/>
    </row>
    <row r="7" spans="1:9" ht="15.75" customHeight="1" x14ac:dyDescent="0.25">
      <c r="A7" s="1"/>
      <c r="B7" s="1"/>
      <c r="C7" s="3"/>
      <c r="D7" s="86"/>
      <c r="E7" s="86"/>
      <c r="F7" s="86"/>
      <c r="G7" s="86"/>
      <c r="H7" s="3"/>
      <c r="I7" s="1"/>
    </row>
    <row r="8" spans="1:9" ht="15.75" customHeight="1" x14ac:dyDescent="0.25">
      <c r="A8" s="1"/>
      <c r="B8" s="1"/>
      <c r="C8" s="4"/>
      <c r="D8" s="91" t="s">
        <v>140</v>
      </c>
      <c r="E8" s="91"/>
      <c r="F8" s="91"/>
      <c r="G8" s="91"/>
      <c r="H8" s="3"/>
      <c r="I8" s="1"/>
    </row>
    <row r="9" spans="1:9" ht="15.75" customHeight="1" x14ac:dyDescent="0.25">
      <c r="A9" s="1"/>
      <c r="B9" s="5"/>
      <c r="C9" s="5"/>
      <c r="D9" s="5"/>
      <c r="E9" s="5"/>
      <c r="F9" s="5"/>
      <c r="G9" s="5"/>
      <c r="H9" s="3"/>
      <c r="I9" s="1"/>
    </row>
    <row r="10" spans="1:9" ht="15.75" customHeight="1" x14ac:dyDescent="0.25">
      <c r="A10" s="1"/>
      <c r="B10" s="5"/>
      <c r="C10" s="5"/>
      <c r="D10" s="90" t="s">
        <v>5</v>
      </c>
      <c r="E10" s="90"/>
      <c r="F10" s="90"/>
      <c r="G10" s="90"/>
      <c r="H10" s="3"/>
      <c r="I10" s="1"/>
    </row>
    <row r="11" spans="1:9" ht="15.75" customHeight="1" x14ac:dyDescent="0.25">
      <c r="A11" s="1"/>
      <c r="B11" s="1"/>
      <c r="C11" s="1"/>
      <c r="D11" s="1"/>
      <c r="E11" s="1"/>
      <c r="F11" s="1"/>
      <c r="G11" s="1"/>
      <c r="H11" s="3"/>
      <c r="I11" s="1"/>
    </row>
    <row r="12" spans="1:9" ht="15.75" customHeight="1" x14ac:dyDescent="0.25">
      <c r="A12" s="1"/>
      <c r="B12" s="1"/>
      <c r="C12" s="6" t="s">
        <v>6</v>
      </c>
      <c r="D12" s="92" t="s">
        <v>74</v>
      </c>
      <c r="E12" s="93"/>
      <c r="F12" s="93"/>
      <c r="G12" s="94"/>
      <c r="H12" s="3"/>
      <c r="I12" s="1"/>
    </row>
    <row r="13" spans="1:9" ht="15.75" customHeight="1" x14ac:dyDescent="0.25">
      <c r="A13" s="1"/>
      <c r="B13" s="1"/>
      <c r="C13" s="6" t="s">
        <v>14</v>
      </c>
      <c r="D13" s="83" t="s">
        <v>144</v>
      </c>
      <c r="E13" s="84"/>
      <c r="F13" s="84"/>
      <c r="G13" s="85"/>
      <c r="H13" s="3"/>
      <c r="I13" s="1"/>
    </row>
    <row r="14" spans="1:9" ht="15.75" customHeight="1" x14ac:dyDescent="0.25">
      <c r="A14" s="1"/>
      <c r="B14" s="1"/>
      <c r="C14" s="6" t="s">
        <v>29</v>
      </c>
      <c r="D14" s="83" t="s">
        <v>76</v>
      </c>
      <c r="E14" s="84"/>
      <c r="F14" s="84"/>
      <c r="G14" s="85"/>
      <c r="H14" s="3"/>
      <c r="I14" s="1"/>
    </row>
    <row r="15" spans="1:9" ht="15.75" customHeight="1" x14ac:dyDescent="0.25">
      <c r="A15" s="1"/>
      <c r="B15" s="1"/>
      <c r="C15" s="6" t="s">
        <v>30</v>
      </c>
      <c r="D15" s="83" t="s">
        <v>100</v>
      </c>
      <c r="E15" s="84"/>
      <c r="F15" s="84"/>
      <c r="G15" s="85"/>
      <c r="H15" s="3"/>
      <c r="I15" s="1"/>
    </row>
    <row r="16" spans="1:9" ht="15.75" customHeight="1" x14ac:dyDescent="0.25">
      <c r="A16" s="1"/>
      <c r="B16" s="1"/>
      <c r="C16" s="6" t="s">
        <v>75</v>
      </c>
      <c r="D16" s="83" t="s">
        <v>101</v>
      </c>
      <c r="E16" s="84"/>
      <c r="F16" s="84"/>
      <c r="G16" s="85"/>
      <c r="H16" s="3"/>
      <c r="I16" s="1"/>
    </row>
    <row r="17" spans="1:9" ht="15.75" customHeight="1" x14ac:dyDescent="0.25">
      <c r="A17" s="1"/>
      <c r="B17" s="1"/>
      <c r="C17" s="6" t="s">
        <v>7</v>
      </c>
      <c r="D17" s="98" t="s">
        <v>10</v>
      </c>
      <c r="E17" s="99"/>
      <c r="F17" s="99"/>
      <c r="G17" s="100"/>
      <c r="H17" s="3"/>
      <c r="I17" s="1"/>
    </row>
    <row r="18" spans="1:9" ht="15.75" customHeight="1" x14ac:dyDescent="0.25">
      <c r="A18" s="1"/>
      <c r="B18" s="1"/>
      <c r="C18" s="6" t="s">
        <v>8</v>
      </c>
      <c r="D18" s="87" t="s">
        <v>102</v>
      </c>
      <c r="E18" s="88"/>
      <c r="F18" s="88"/>
      <c r="G18" s="89"/>
      <c r="H18" s="3"/>
      <c r="I18" s="1"/>
    </row>
    <row r="19" spans="1:9" ht="15.75" customHeight="1" x14ac:dyDescent="0.25">
      <c r="A19" s="1"/>
      <c r="B19" s="1"/>
      <c r="C19" s="6" t="s">
        <v>56</v>
      </c>
      <c r="D19" s="87" t="s">
        <v>103</v>
      </c>
      <c r="E19" s="88"/>
      <c r="F19" s="88"/>
      <c r="G19" s="89"/>
      <c r="H19" s="3"/>
      <c r="I19" s="1"/>
    </row>
    <row r="20" spans="1:9" ht="15.75" customHeight="1" x14ac:dyDescent="0.25">
      <c r="A20" s="1"/>
      <c r="B20" s="1"/>
      <c r="C20" s="6" t="s">
        <v>36</v>
      </c>
      <c r="D20" s="87" t="s">
        <v>161</v>
      </c>
      <c r="E20" s="88"/>
      <c r="F20" s="88"/>
      <c r="G20" s="89"/>
      <c r="H20" s="3"/>
      <c r="I20" s="1"/>
    </row>
    <row r="21" spans="1:9" ht="15.75" customHeight="1" x14ac:dyDescent="0.25">
      <c r="A21" s="1"/>
      <c r="B21" s="1"/>
      <c r="C21" s="6" t="s">
        <v>183</v>
      </c>
      <c r="D21" s="87" t="s">
        <v>145</v>
      </c>
      <c r="E21" s="88"/>
      <c r="F21" s="88"/>
      <c r="G21" s="89"/>
      <c r="H21" s="1"/>
      <c r="I21" s="1"/>
    </row>
    <row r="22" spans="1:9" ht="15.75" customHeight="1" x14ac:dyDescent="0.25">
      <c r="A22" s="1"/>
      <c r="B22" s="1"/>
      <c r="C22" s="6" t="s">
        <v>184</v>
      </c>
      <c r="D22" s="87" t="s">
        <v>37</v>
      </c>
      <c r="E22" s="88"/>
      <c r="F22" s="88"/>
      <c r="G22" s="89"/>
      <c r="H22" s="1"/>
      <c r="I22" s="1"/>
    </row>
    <row r="23" spans="1:9" ht="15.75" customHeight="1" x14ac:dyDescent="0.25">
      <c r="A23" s="1"/>
      <c r="B23" s="1"/>
      <c r="C23" s="6" t="s">
        <v>185</v>
      </c>
      <c r="D23" s="87" t="s">
        <v>38</v>
      </c>
      <c r="E23" s="88"/>
      <c r="F23" s="88"/>
      <c r="G23" s="89"/>
      <c r="H23" s="1"/>
      <c r="I23" s="1"/>
    </row>
    <row r="24" spans="1:9" ht="15.75" customHeight="1" x14ac:dyDescent="0.25">
      <c r="A24" s="1"/>
      <c r="B24" s="1"/>
      <c r="C24" s="6" t="s">
        <v>46</v>
      </c>
      <c r="D24" s="87" t="s">
        <v>39</v>
      </c>
      <c r="E24" s="88"/>
      <c r="F24" s="88"/>
      <c r="G24" s="89"/>
      <c r="H24" s="1"/>
      <c r="I24" s="1"/>
    </row>
    <row r="25" spans="1:9" ht="15.75" customHeight="1" x14ac:dyDescent="0.25">
      <c r="A25" s="1"/>
      <c r="B25" s="1"/>
      <c r="C25" s="6" t="s">
        <v>57</v>
      </c>
      <c r="D25" s="87" t="s">
        <v>63</v>
      </c>
      <c r="E25" s="88"/>
      <c r="F25" s="88"/>
      <c r="G25" s="89"/>
      <c r="H25" s="1"/>
      <c r="I25" s="1"/>
    </row>
    <row r="26" spans="1:9" ht="15.75" customHeight="1" x14ac:dyDescent="0.25">
      <c r="A26" s="1"/>
      <c r="B26" s="1"/>
      <c r="C26" s="6" t="s">
        <v>13</v>
      </c>
      <c r="D26" s="87" t="s">
        <v>31</v>
      </c>
      <c r="E26" s="88"/>
      <c r="F26" s="88"/>
      <c r="G26" s="89"/>
      <c r="H26" s="1"/>
      <c r="I26" s="1"/>
    </row>
    <row r="27" spans="1:9" ht="15.75" customHeight="1" x14ac:dyDescent="0.25">
      <c r="A27" s="1"/>
      <c r="B27" s="1"/>
      <c r="C27" s="6" t="s">
        <v>186</v>
      </c>
      <c r="D27" s="95" t="s">
        <v>58</v>
      </c>
      <c r="E27" s="96"/>
      <c r="F27" s="96"/>
      <c r="G27" s="97"/>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row r="47" spans="1:9" ht="15.75" customHeight="1" x14ac:dyDescent="0.25">
      <c r="A47" s="1"/>
      <c r="B47" s="1"/>
      <c r="C47" s="1"/>
      <c r="D47" s="1"/>
      <c r="E47" s="1"/>
      <c r="F47" s="1"/>
      <c r="G47" s="1"/>
      <c r="H47" s="1"/>
      <c r="I47" s="1"/>
    </row>
  </sheetData>
  <sheetProtection algorithmName="SHA-512" hashValue="bQVhPggM+Tb9jR93jwB/swMjBRZ3gnKrDhx2lUWNMgIIiia0rIEEvvARZHf+mZUhhckKlNeEP8IaDh1pO641TA==" saltValue="morbW7VjH7fRyuTaIvjzFw=="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26:G26"/>
    <mergeCell ref="D27:G27"/>
    <mergeCell ref="D17:G17"/>
    <mergeCell ref="D21:G21"/>
    <mergeCell ref="D22:G22"/>
    <mergeCell ref="D25:G25"/>
    <mergeCell ref="D23:G23"/>
    <mergeCell ref="D24:G24"/>
    <mergeCell ref="D19:G19"/>
    <mergeCell ref="D20:G20"/>
    <mergeCell ref="D13:G13"/>
    <mergeCell ref="D6:G7"/>
    <mergeCell ref="D18:G18"/>
    <mergeCell ref="D10:G10"/>
    <mergeCell ref="D8:G8"/>
    <mergeCell ref="D14:G14"/>
    <mergeCell ref="D15:G15"/>
    <mergeCell ref="D12:G12"/>
    <mergeCell ref="D16:G16"/>
  </mergeCells>
  <hyperlinks>
    <hyperlink ref="D22:G22" location="'Fane 9.1. Varige tillæg'!A1" display="Varige tillæg"/>
    <hyperlink ref="D25:G25" location="'Fane 11. Tilknyttet virksomhed'!A1" display="Tilknyttet virksomhed"/>
    <hyperlink ref="D26:G26" location="'Fane 12. Bortfald'!A1" display="Bortfald"/>
    <hyperlink ref="D12:G12" location="'Fane 2.1. Økonomisk ramme 2023'!A1" display="Samlet økonomisk ramme for 2023"/>
    <hyperlink ref="D15:G15" location="'Fane 2.4. Økonomisk ramme 2026'!A1" display="Vejledende økonomisk ramme for 2026"/>
    <hyperlink ref="D14:G14" location="'Fane 2.3. Økonomisk ramme 2025'!A1" display="Vejledende økonomisk ramme for 2025"/>
    <hyperlink ref="D17:G17" location="'Fane 4. Ikke-påvirkelige omk.'!A1" display="Ikke-påvirkelige omkostninger"/>
    <hyperlink ref="D18:G18" location="'Fane 5. Kontrol af ØR2021'!A1" display="Kontrol af den økonomiske ramme for 2021"/>
    <hyperlink ref="D21:G21" location="'Fane 8. Anlægsprojekter (§ 19)'!A1" display="Anlægsprojekter (§ 19)"/>
    <hyperlink ref="D27:G27" location="'Fane 13. Nøgletal'!A1" display="Nøgletal"/>
    <hyperlink ref="D16:G16" location="'Fane 3. Omkostninger i ØR2022'!A1" display="Omkostninger i ØR2022"/>
    <hyperlink ref="D23:G23" location="'Fane 9.2. Engangstillæg'!A1" display="Engangstillæg"/>
    <hyperlink ref="D24:G24" location="'Fane 10. Periodevise driftsomk.'!A1" display="Periodevise driftsomkostninger"/>
    <hyperlink ref="D19:G19" location="'Fane 6. Korrektion af ØR2021'!A1" display="Korrektion af den økonomiske ramme for 2021"/>
    <hyperlink ref="D13:G13" location="'Fane 2.3. Økonomisk ramme 2025'!A1" display="Vejledende økonomisk ramme for 2025"/>
    <hyperlink ref="D20:G20" location="'Fane 7.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I44"/>
  <sheetViews>
    <sheetView view="pageLayout" zoomScaleNormal="100" workbookViewId="0"/>
  </sheetViews>
  <sheetFormatPr defaultColWidth="9.140625" defaultRowHeight="15" x14ac:dyDescent="0.25"/>
  <cols>
    <col min="1" max="1" width="4.7109375" style="56" customWidth="1"/>
    <col min="2" max="2" width="22.5703125" style="56" customWidth="1"/>
    <col min="3" max="3" width="8.28515625" style="56" customWidth="1"/>
    <col min="4" max="6" width="10.7109375" style="56" customWidth="1"/>
    <col min="7" max="7" width="11.140625" style="56" customWidth="1"/>
    <col min="8" max="8" width="3.28515625" style="56" customWidth="1"/>
    <col min="9" max="9" width="4.85546875" style="56" customWidth="1"/>
    <col min="10" max="16384" width="9.140625" style="5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1" t="s">
        <v>150</v>
      </c>
      <c r="C3" s="101"/>
      <c r="D3" s="101"/>
      <c r="E3" s="101"/>
      <c r="F3" s="101"/>
      <c r="G3" s="101"/>
      <c r="H3" s="101"/>
      <c r="I3" s="1"/>
    </row>
    <row r="4" spans="1:9" ht="15" customHeight="1" x14ac:dyDescent="0.25">
      <c r="A4" s="1"/>
      <c r="B4" s="101"/>
      <c r="C4" s="101"/>
      <c r="D4" s="101"/>
      <c r="E4" s="101"/>
      <c r="F4" s="101"/>
      <c r="G4" s="101"/>
      <c r="H4" s="10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151</v>
      </c>
      <c r="C8" s="118"/>
      <c r="D8" s="118"/>
      <c r="E8" s="118"/>
      <c r="F8" s="118"/>
      <c r="G8" s="118"/>
      <c r="H8" s="119"/>
      <c r="I8" s="1"/>
    </row>
    <row r="9" spans="1:9" ht="15" customHeight="1" x14ac:dyDescent="0.25">
      <c r="A9" s="1"/>
      <c r="B9" s="104" t="s">
        <v>152</v>
      </c>
      <c r="C9" s="105"/>
      <c r="D9" s="105"/>
      <c r="E9" s="105"/>
      <c r="F9" s="105"/>
      <c r="G9" s="105"/>
      <c r="H9" s="106"/>
      <c r="I9" s="1"/>
    </row>
    <row r="10" spans="1:9" x14ac:dyDescent="0.25">
      <c r="A10" s="1"/>
      <c r="B10" s="138" t="s">
        <v>175</v>
      </c>
      <c r="C10" s="139"/>
      <c r="D10" s="139"/>
      <c r="E10" s="139"/>
      <c r="F10" s="140"/>
      <c r="G10" s="60">
        <v>0</v>
      </c>
      <c r="H10" s="8" t="s">
        <v>3</v>
      </c>
      <c r="I10" s="1"/>
    </row>
    <row r="11" spans="1:9" x14ac:dyDescent="0.25">
      <c r="A11" s="1"/>
      <c r="B11" s="138" t="s">
        <v>176</v>
      </c>
      <c r="C11" s="139"/>
      <c r="D11" s="139"/>
      <c r="E11" s="139"/>
      <c r="F11" s="140"/>
      <c r="G11" s="60">
        <v>0</v>
      </c>
      <c r="H11" s="8" t="s">
        <v>3</v>
      </c>
      <c r="I11" s="1"/>
    </row>
    <row r="12" spans="1:9" x14ac:dyDescent="0.25">
      <c r="A12" s="1"/>
      <c r="B12" s="138" t="s">
        <v>177</v>
      </c>
      <c r="C12" s="139"/>
      <c r="D12" s="139"/>
      <c r="E12" s="139"/>
      <c r="F12" s="140"/>
      <c r="G12" s="8">
        <v>0</v>
      </c>
      <c r="H12" s="8" t="s">
        <v>3</v>
      </c>
      <c r="I12" s="1"/>
    </row>
    <row r="13" spans="1:9" x14ac:dyDescent="0.25">
      <c r="A13" s="1"/>
      <c r="B13" s="138" t="s">
        <v>178</v>
      </c>
      <c r="C13" s="139"/>
      <c r="D13" s="139"/>
      <c r="E13" s="139"/>
      <c r="F13" s="140"/>
      <c r="G13" s="8">
        <v>0</v>
      </c>
      <c r="H13" s="8" t="s">
        <v>3</v>
      </c>
      <c r="I13" s="1"/>
    </row>
    <row r="14" spans="1:9" x14ac:dyDescent="0.25">
      <c r="A14" s="1"/>
      <c r="B14" s="138" t="s">
        <v>179</v>
      </c>
      <c r="C14" s="139"/>
      <c r="D14" s="139"/>
      <c r="E14" s="139"/>
      <c r="F14" s="140"/>
      <c r="G14" s="8">
        <v>0</v>
      </c>
      <c r="H14" s="8" t="s">
        <v>3</v>
      </c>
      <c r="I14" s="1"/>
    </row>
    <row r="15" spans="1:9" x14ac:dyDescent="0.25">
      <c r="A15" s="1"/>
      <c r="B15" s="138" t="s">
        <v>180</v>
      </c>
      <c r="C15" s="139"/>
      <c r="D15" s="139"/>
      <c r="E15" s="139"/>
      <c r="F15" s="140"/>
      <c r="G15" s="8">
        <v>0</v>
      </c>
      <c r="H15" s="8" t="s">
        <v>3</v>
      </c>
      <c r="I15" s="1"/>
    </row>
    <row r="16" spans="1:9" x14ac:dyDescent="0.25">
      <c r="A16" s="1"/>
      <c r="B16" s="138" t="s">
        <v>181</v>
      </c>
      <c r="C16" s="139"/>
      <c r="D16" s="139"/>
      <c r="E16" s="139"/>
      <c r="F16" s="140"/>
      <c r="G16" s="8">
        <v>0</v>
      </c>
      <c r="H16" s="8" t="s">
        <v>3</v>
      </c>
      <c r="I16" s="1"/>
    </row>
    <row r="17" spans="1:9" x14ac:dyDescent="0.25">
      <c r="A17" s="1"/>
      <c r="B17" s="138" t="s">
        <v>182</v>
      </c>
      <c r="C17" s="139"/>
      <c r="D17" s="139"/>
      <c r="E17" s="139"/>
      <c r="F17" s="140"/>
      <c r="G17" s="8">
        <v>0</v>
      </c>
      <c r="H17" s="8" t="s">
        <v>3</v>
      </c>
      <c r="I17" s="1"/>
    </row>
    <row r="18" spans="1:9" x14ac:dyDescent="0.25">
      <c r="A18" s="1"/>
      <c r="B18" s="117" t="s">
        <v>153</v>
      </c>
      <c r="C18" s="118"/>
      <c r="D18" s="118"/>
      <c r="E18" s="118"/>
      <c r="F18" s="119"/>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n21KcCwuPIZt0V9eWXf2loT2fwBMtEdhNWGljswAVvwlbl/gaj3E+/fliQf4jGtucYdog5GQ5Adp0G4A01SNSg==" saltValue="/O1EEDgnq0bos0sQyqnCt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1" t="s">
        <v>154</v>
      </c>
      <c r="C3" s="101"/>
      <c r="D3" s="101"/>
      <c r="E3" s="101"/>
      <c r="F3" s="101"/>
      <c r="G3" s="101"/>
      <c r="H3" s="101"/>
      <c r="I3" s="101"/>
      <c r="J3" s="101"/>
      <c r="K3" s="101"/>
      <c r="L3" s="1"/>
    </row>
    <row r="4" spans="1:12" ht="15" customHeight="1" x14ac:dyDescent="0.25">
      <c r="A4" s="1"/>
      <c r="B4" s="101"/>
      <c r="C4" s="101"/>
      <c r="D4" s="101"/>
      <c r="E4" s="101"/>
      <c r="F4" s="101"/>
      <c r="G4" s="101"/>
      <c r="H4" s="101"/>
      <c r="I4" s="101"/>
      <c r="J4" s="101"/>
      <c r="K4" s="10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133</v>
      </c>
      <c r="C8" s="118"/>
      <c r="D8" s="118"/>
      <c r="E8" s="118"/>
      <c r="F8" s="118"/>
      <c r="G8" s="118"/>
      <c r="H8" s="118"/>
      <c r="I8" s="118"/>
      <c r="J8" s="118"/>
      <c r="K8" s="119"/>
      <c r="L8" s="1"/>
    </row>
    <row r="9" spans="1:12" ht="39.75" customHeight="1" x14ac:dyDescent="0.25">
      <c r="A9" s="1"/>
      <c r="B9" s="16" t="s">
        <v>0</v>
      </c>
      <c r="C9" s="16" t="s">
        <v>1</v>
      </c>
      <c r="D9" s="141" t="s">
        <v>149</v>
      </c>
      <c r="E9" s="142"/>
      <c r="F9" s="141" t="s">
        <v>2</v>
      </c>
      <c r="G9" s="142"/>
      <c r="H9" s="141" t="s">
        <v>148</v>
      </c>
      <c r="I9" s="142"/>
      <c r="J9" s="141" t="s">
        <v>24</v>
      </c>
      <c r="K9" s="142"/>
      <c r="L9" s="1"/>
    </row>
    <row r="10" spans="1:12" x14ac:dyDescent="0.25">
      <c r="A10" s="1"/>
      <c r="B10" s="78" t="s">
        <v>165</v>
      </c>
      <c r="C10" s="34"/>
      <c r="D10" s="8">
        <v>0</v>
      </c>
      <c r="E10" s="12" t="s">
        <v>3</v>
      </c>
      <c r="F10" s="8">
        <f>IFERROR(D10/C10,0)</f>
        <v>0</v>
      </c>
      <c r="G10" s="12" t="s">
        <v>3</v>
      </c>
      <c r="H10" s="8">
        <v>0</v>
      </c>
      <c r="I10" s="12" t="s">
        <v>3</v>
      </c>
      <c r="J10" s="8">
        <v>0</v>
      </c>
      <c r="K10" s="12" t="s">
        <v>3</v>
      </c>
      <c r="L10" s="1"/>
    </row>
    <row r="11" spans="1:12" x14ac:dyDescent="0.25">
      <c r="A11" s="1"/>
      <c r="B11" s="117" t="s">
        <v>134</v>
      </c>
      <c r="C11" s="118"/>
      <c r="D11" s="118"/>
      <c r="E11" s="119"/>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Y+nXqBON7buSmy2KBU8siBDru86TRBpXmBLV0BB69ah91JcH5i48uGpWE4XS3XpUlMxaUnMCfyuclqKUtWxgQA==" saltValue="Za5qPOZJEjt1luO3xQ1NIA=="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155</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1" t="s">
        <v>33</v>
      </c>
      <c r="C8" s="22"/>
      <c r="D8" s="22"/>
      <c r="E8" s="22"/>
      <c r="F8" s="82"/>
      <c r="G8" s="1"/>
    </row>
    <row r="9" spans="1:7" ht="17.25" customHeight="1" x14ac:dyDescent="0.25">
      <c r="A9" s="1"/>
      <c r="B9" s="66" t="s">
        <v>15</v>
      </c>
      <c r="C9" s="66" t="s">
        <v>9</v>
      </c>
      <c r="D9" s="67"/>
      <c r="E9" s="66" t="s">
        <v>25</v>
      </c>
      <c r="F9" s="80"/>
      <c r="G9" s="1"/>
    </row>
    <row r="10" spans="1:7" x14ac:dyDescent="0.25">
      <c r="A10" s="1"/>
      <c r="B10" s="20" t="s">
        <v>147</v>
      </c>
      <c r="C10" s="19">
        <f>'Fane 8. Anlægsprojekter (§ 19)'!H11</f>
        <v>0</v>
      </c>
      <c r="D10" s="12" t="s">
        <v>3</v>
      </c>
      <c r="E10" s="8">
        <f>SUM('Fane 8. Anlægsprojekter (§ 19)'!F11,'Fane 8. Anlægsprojekter (§ 19)'!J11)</f>
        <v>0</v>
      </c>
      <c r="F10" s="12" t="s">
        <v>3</v>
      </c>
      <c r="G10" s="1"/>
    </row>
    <row r="11" spans="1:7" x14ac:dyDescent="0.25">
      <c r="A11" s="1"/>
      <c r="B11" s="20" t="s">
        <v>174</v>
      </c>
      <c r="C11" s="19">
        <v>0</v>
      </c>
      <c r="D11" s="12" t="s">
        <v>3</v>
      </c>
      <c r="E11" s="8">
        <v>63528</v>
      </c>
      <c r="F11" s="12" t="s">
        <v>3</v>
      </c>
      <c r="G11" s="1"/>
    </row>
    <row r="12" spans="1:7" x14ac:dyDescent="0.25">
      <c r="A12" s="1"/>
      <c r="B12" s="81" t="s">
        <v>83</v>
      </c>
      <c r="C12" s="10">
        <f>SUM(C10:C11)</f>
        <v>0</v>
      </c>
      <c r="D12" s="11" t="s">
        <v>3</v>
      </c>
      <c r="E12" s="10">
        <f>SUM(E10:E11)</f>
        <v>63528</v>
      </c>
      <c r="F12" s="11" t="s">
        <v>3</v>
      </c>
      <c r="G12" s="1"/>
    </row>
    <row r="13" spans="1:7" x14ac:dyDescent="0.25">
      <c r="A13" s="1"/>
      <c r="B13" s="81" t="s">
        <v>128</v>
      </c>
      <c r="C13" s="10">
        <f>C12*(1+'Fane 13. Nøgletal'!C15)</f>
        <v>0</v>
      </c>
      <c r="D13" s="11" t="s">
        <v>3</v>
      </c>
      <c r="E13" s="10">
        <f>E12*(1+'Fane 13. Nøgletal'!C15)</f>
        <v>65789.596799999999</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RXrKw/Ve01baD0rE72SggA/cY4C+rk5EWBzyYcNj6/wEUbACNPBlUJR7pPCm+7qyKW+NyexOE66N6dGMQ9rrQ==" saltValue="zTJ3/fyYmkmOGunk2uCiRw=="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156</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48</v>
      </c>
      <c r="C9" s="118"/>
      <c r="D9" s="118"/>
      <c r="E9" s="118"/>
      <c r="F9" s="119"/>
      <c r="G9" s="1"/>
    </row>
    <row r="10" spans="1:7" x14ac:dyDescent="0.25">
      <c r="A10" s="1"/>
      <c r="B10" s="66" t="s">
        <v>15</v>
      </c>
      <c r="C10" s="66" t="s">
        <v>9</v>
      </c>
      <c r="D10" s="67"/>
      <c r="E10" s="66" t="s">
        <v>25</v>
      </c>
      <c r="F10" s="80"/>
      <c r="G10" s="1"/>
    </row>
    <row r="11" spans="1:7" x14ac:dyDescent="0.25">
      <c r="A11" s="1"/>
      <c r="B11" s="20" t="s">
        <v>187</v>
      </c>
      <c r="C11" s="19">
        <v>0</v>
      </c>
      <c r="D11" s="12" t="s">
        <v>3</v>
      </c>
      <c r="E11" s="19">
        <v>0</v>
      </c>
      <c r="F11" s="12" t="s">
        <v>3</v>
      </c>
      <c r="G11" s="1"/>
    </row>
    <row r="12" spans="1:7" x14ac:dyDescent="0.25">
      <c r="A12" s="1"/>
      <c r="B12" s="81" t="s">
        <v>142</v>
      </c>
      <c r="C12" s="10">
        <f>SUM(C11:C11)</f>
        <v>0</v>
      </c>
      <c r="D12" s="11" t="s">
        <v>3</v>
      </c>
      <c r="E12" s="10">
        <f>SUM(E11:E11)</f>
        <v>0</v>
      </c>
      <c r="F12" s="11" t="s">
        <v>3</v>
      </c>
      <c r="G12" s="1"/>
    </row>
    <row r="13" spans="1:7" x14ac:dyDescent="0.25">
      <c r="A13" s="1"/>
      <c r="B13" s="81" t="s">
        <v>143</v>
      </c>
      <c r="C13" s="10">
        <f>C12*(1+'Fane 13. Nøgletal'!C15)^2</f>
        <v>0</v>
      </c>
      <c r="D13" s="11" t="s">
        <v>3</v>
      </c>
      <c r="E13" s="10">
        <f>E12*(1+'Fane 13. Nøgletal'!C15)^2</f>
        <v>0</v>
      </c>
      <c r="F13" s="11" t="s">
        <v>3</v>
      </c>
      <c r="G13" s="1"/>
    </row>
    <row r="14" spans="1:7" x14ac:dyDescent="0.25">
      <c r="A14" s="1"/>
      <c r="B14" s="1"/>
      <c r="C14" s="1"/>
      <c r="D14" s="1"/>
      <c r="E14" s="1"/>
      <c r="F14" s="1"/>
      <c r="G14" s="1"/>
    </row>
    <row r="15" spans="1:7" x14ac:dyDescent="0.25">
      <c r="A15" s="1"/>
      <c r="B15" s="143"/>
      <c r="C15" s="143"/>
      <c r="D15" s="143"/>
      <c r="E15" s="143"/>
      <c r="F15" s="143"/>
      <c r="G15" s="1"/>
    </row>
    <row r="16" spans="1:7" x14ac:dyDescent="0.25">
      <c r="A16" s="1"/>
      <c r="B16" s="46"/>
      <c r="C16" s="46"/>
      <c r="D16" s="46"/>
      <c r="E16" s="46"/>
      <c r="F16" s="47"/>
      <c r="G16" s="1"/>
    </row>
    <row r="17" spans="1:7" x14ac:dyDescent="0.25">
      <c r="A17" s="1"/>
      <c r="B17" s="48"/>
      <c r="C17" s="49"/>
      <c r="D17" s="50"/>
      <c r="E17" s="49"/>
      <c r="F17" s="50"/>
      <c r="G17" s="1"/>
    </row>
    <row r="18" spans="1:7" x14ac:dyDescent="0.25">
      <c r="A18" s="1"/>
      <c r="B18" s="48"/>
      <c r="C18" s="49"/>
      <c r="D18" s="50"/>
      <c r="E18" s="49"/>
      <c r="F18" s="50"/>
      <c r="G18" s="1"/>
    </row>
    <row r="19" spans="1:7" x14ac:dyDescent="0.25">
      <c r="A19" s="1"/>
      <c r="B19" s="51"/>
      <c r="C19" s="52"/>
      <c r="D19" s="53"/>
      <c r="E19" s="52"/>
      <c r="F19" s="53"/>
      <c r="G19" s="1"/>
    </row>
    <row r="20" spans="1:7" x14ac:dyDescent="0.25">
      <c r="A20" s="1"/>
      <c r="B20" s="51"/>
      <c r="C20" s="52"/>
      <c r="D20" s="53"/>
      <c r="E20" s="52"/>
      <c r="F20" s="53"/>
      <c r="G20" s="1"/>
    </row>
    <row r="21" spans="1:7" x14ac:dyDescent="0.25">
      <c r="A21" s="1"/>
      <c r="B21" s="54"/>
      <c r="C21" s="54"/>
      <c r="D21" s="54"/>
      <c r="E21" s="54"/>
      <c r="F21" s="54"/>
      <c r="G21" s="1"/>
    </row>
    <row r="22" spans="1:7" x14ac:dyDescent="0.25">
      <c r="A22" s="1"/>
      <c r="B22" s="143"/>
      <c r="C22" s="143"/>
      <c r="D22" s="143"/>
      <c r="E22" s="143"/>
      <c r="F22" s="143"/>
      <c r="G22" s="1"/>
    </row>
    <row r="23" spans="1:7" x14ac:dyDescent="0.25">
      <c r="A23" s="1"/>
      <c r="B23" s="46"/>
      <c r="C23" s="46"/>
      <c r="D23" s="46"/>
      <c r="E23" s="46"/>
      <c r="F23" s="47"/>
      <c r="G23" s="1"/>
    </row>
    <row r="24" spans="1:7" x14ac:dyDescent="0.25">
      <c r="A24" s="1"/>
      <c r="B24" s="48"/>
      <c r="C24" s="49"/>
      <c r="D24" s="50"/>
      <c r="E24" s="49"/>
      <c r="F24" s="50"/>
      <c r="G24" s="1"/>
    </row>
    <row r="25" spans="1:7" x14ac:dyDescent="0.25">
      <c r="A25" s="1"/>
      <c r="B25" s="48"/>
      <c r="C25" s="49"/>
      <c r="D25" s="50"/>
      <c r="E25" s="49"/>
      <c r="F25" s="50"/>
      <c r="G25" s="1"/>
    </row>
    <row r="26" spans="1:7" x14ac:dyDescent="0.25">
      <c r="A26" s="1"/>
      <c r="B26" s="51"/>
      <c r="C26" s="52"/>
      <c r="D26" s="53"/>
      <c r="E26" s="52"/>
      <c r="F26" s="53"/>
      <c r="G26" s="1"/>
    </row>
    <row r="27" spans="1:7" x14ac:dyDescent="0.25">
      <c r="A27" s="1"/>
      <c r="B27" s="51"/>
      <c r="C27" s="52"/>
      <c r="D27" s="53"/>
      <c r="E27" s="52"/>
      <c r="F27" s="53"/>
      <c r="G27" s="1"/>
    </row>
    <row r="28" spans="1:7" x14ac:dyDescent="0.25">
      <c r="A28" s="1"/>
      <c r="B28" s="54"/>
      <c r="C28" s="54"/>
      <c r="D28" s="54"/>
      <c r="E28" s="54"/>
      <c r="F28" s="54"/>
      <c r="G28" s="1"/>
    </row>
    <row r="29" spans="1:7" x14ac:dyDescent="0.25">
      <c r="A29" s="1"/>
      <c r="B29" s="143"/>
      <c r="C29" s="143"/>
      <c r="D29" s="143"/>
      <c r="E29" s="143"/>
      <c r="F29" s="143"/>
      <c r="G29" s="1"/>
    </row>
    <row r="30" spans="1:7" x14ac:dyDescent="0.25">
      <c r="A30" s="1"/>
      <c r="B30" s="46"/>
      <c r="C30" s="46"/>
      <c r="D30" s="46"/>
      <c r="E30" s="46"/>
      <c r="F30" s="47"/>
      <c r="G30" s="1"/>
    </row>
    <row r="31" spans="1:7" x14ac:dyDescent="0.25">
      <c r="A31" s="1"/>
      <c r="B31" s="48"/>
      <c r="C31" s="49"/>
      <c r="D31" s="50"/>
      <c r="E31" s="49"/>
      <c r="F31" s="50"/>
      <c r="G31" s="1"/>
    </row>
    <row r="32" spans="1:7" x14ac:dyDescent="0.25">
      <c r="A32" s="1"/>
      <c r="B32" s="48"/>
      <c r="C32" s="49"/>
      <c r="D32" s="50"/>
      <c r="E32" s="49"/>
      <c r="F32" s="50"/>
      <c r="G32" s="1"/>
    </row>
    <row r="33" spans="1:7" x14ac:dyDescent="0.25">
      <c r="A33" s="1"/>
      <c r="B33" s="51"/>
      <c r="C33" s="52"/>
      <c r="D33" s="53"/>
      <c r="E33" s="52"/>
      <c r="F33" s="53"/>
      <c r="G33" s="1"/>
    </row>
    <row r="34" spans="1:7" x14ac:dyDescent="0.25">
      <c r="A34" s="1"/>
      <c r="B34" s="51"/>
      <c r="C34" s="52"/>
      <c r="D34" s="53"/>
      <c r="E34" s="52"/>
      <c r="F34" s="5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4XQOVoq9l5CtnvmCNsZ/Q8fPKHCKhd085nzDEQHuv5QFUI58qoOnzBVBA9NP2jrzsuHVsvEXXrZtT8GEEa5rhg==" saltValue="zPbUGzbN4tnufNq/JffEyA=="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29:F29"/>
    <mergeCell ref="B3:F4"/>
    <mergeCell ref="B9:F9"/>
    <mergeCell ref="B22:F22"/>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95" zoomScaleNormal="100" zoomScalePageLayoutView="9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157</v>
      </c>
      <c r="C3" s="115"/>
      <c r="D3" s="115"/>
      <c r="E3" s="115"/>
      <c r="F3" s="115"/>
      <c r="G3" s="1"/>
    </row>
    <row r="4" spans="1:7" ht="15" customHeight="1" x14ac:dyDescent="0.25">
      <c r="A4" s="1"/>
      <c r="B4" s="115"/>
      <c r="C4" s="115"/>
      <c r="D4" s="115"/>
      <c r="E4" s="115"/>
      <c r="F4" s="115"/>
      <c r="G4" s="1"/>
    </row>
    <row r="5" spans="1:7" x14ac:dyDescent="0.25">
      <c r="A5" s="1"/>
      <c r="B5" s="115"/>
      <c r="C5" s="115"/>
      <c r="D5" s="115"/>
      <c r="E5" s="115"/>
      <c r="F5" s="11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43</v>
      </c>
      <c r="C9" s="118"/>
      <c r="D9" s="118"/>
      <c r="E9" s="118"/>
      <c r="F9" s="119"/>
      <c r="G9" s="1"/>
    </row>
    <row r="10" spans="1:7" x14ac:dyDescent="0.25">
      <c r="A10" s="1"/>
      <c r="B10" s="138" t="s">
        <v>139</v>
      </c>
      <c r="C10" s="139"/>
      <c r="D10" s="140"/>
      <c r="E10" s="8">
        <v>0</v>
      </c>
      <c r="F10" s="12" t="s">
        <v>3</v>
      </c>
      <c r="G10" s="1"/>
    </row>
    <row r="11" spans="1:7" x14ac:dyDescent="0.25">
      <c r="A11" s="1"/>
      <c r="B11" s="109" t="s">
        <v>54</v>
      </c>
      <c r="C11" s="110"/>
      <c r="D11" s="111"/>
      <c r="E11" s="8">
        <f>-E10*'Fane 13. Nøgletal'!C20</f>
        <v>0</v>
      </c>
      <c r="F11" s="12" t="s">
        <v>3</v>
      </c>
      <c r="G11" s="1"/>
    </row>
    <row r="12" spans="1:7" x14ac:dyDescent="0.25">
      <c r="A12" s="1"/>
      <c r="B12" s="117" t="s">
        <v>44</v>
      </c>
      <c r="C12" s="118"/>
      <c r="D12" s="119"/>
      <c r="E12" s="10">
        <f>SUM(E10:E11)*(1+'Fane 13. Nøgletal'!C15)^2</f>
        <v>0</v>
      </c>
      <c r="F12" s="11" t="s">
        <v>3</v>
      </c>
      <c r="G12" s="1"/>
    </row>
    <row r="13" spans="1:7" x14ac:dyDescent="0.25">
      <c r="A13" s="1"/>
      <c r="B13" s="1"/>
      <c r="C13" s="1"/>
      <c r="D13" s="1"/>
      <c r="E13" s="1"/>
      <c r="F13" s="1"/>
      <c r="G13" s="1"/>
    </row>
    <row r="14" spans="1:7" x14ac:dyDescent="0.25">
      <c r="A14" s="1"/>
      <c r="B14" s="117" t="s">
        <v>67</v>
      </c>
      <c r="C14" s="118"/>
      <c r="D14" s="118"/>
      <c r="E14" s="118"/>
      <c r="F14" s="119"/>
      <c r="G14" s="1"/>
    </row>
    <row r="15" spans="1:7" x14ac:dyDescent="0.25">
      <c r="A15" s="1"/>
      <c r="B15" s="138" t="s">
        <v>139</v>
      </c>
      <c r="C15" s="139"/>
      <c r="D15" s="140"/>
      <c r="E15" s="8">
        <v>0</v>
      </c>
      <c r="F15" s="12" t="s">
        <v>3</v>
      </c>
      <c r="G15" s="1"/>
    </row>
    <row r="16" spans="1:7" x14ac:dyDescent="0.25">
      <c r="A16" s="1"/>
      <c r="B16" s="109" t="s">
        <v>54</v>
      </c>
      <c r="C16" s="110"/>
      <c r="D16" s="111"/>
      <c r="E16" s="8">
        <f>-E15*'Fane 13. Nøgletal'!C20</f>
        <v>0</v>
      </c>
      <c r="F16" s="12" t="s">
        <v>3</v>
      </c>
      <c r="G16" s="1"/>
    </row>
    <row r="17" spans="1:7" x14ac:dyDescent="0.25">
      <c r="A17" s="1"/>
      <c r="B17" s="117" t="s">
        <v>68</v>
      </c>
      <c r="C17" s="118"/>
      <c r="D17" s="119"/>
      <c r="E17" s="10">
        <f>SUM(E15:E16)*(1+'Fane 13. Nøgletal'!C15)^3</f>
        <v>0</v>
      </c>
      <c r="F17" s="11" t="s">
        <v>3</v>
      </c>
      <c r="G17" s="1"/>
    </row>
    <row r="18" spans="1:7" x14ac:dyDescent="0.25">
      <c r="A18" s="1"/>
      <c r="B18" s="1"/>
      <c r="C18" s="1"/>
      <c r="D18" s="1"/>
      <c r="E18" s="1"/>
      <c r="F18" s="1"/>
      <c r="G18" s="1"/>
    </row>
    <row r="19" spans="1:7" x14ac:dyDescent="0.25">
      <c r="A19" s="1"/>
      <c r="B19" s="117" t="s">
        <v>84</v>
      </c>
      <c r="C19" s="118"/>
      <c r="D19" s="118"/>
      <c r="E19" s="118"/>
      <c r="F19" s="119"/>
      <c r="G19" s="1"/>
    </row>
    <row r="20" spans="1:7" x14ac:dyDescent="0.25">
      <c r="A20" s="1"/>
      <c r="B20" s="138" t="s">
        <v>139</v>
      </c>
      <c r="C20" s="139"/>
      <c r="D20" s="140"/>
      <c r="E20" s="8">
        <v>0</v>
      </c>
      <c r="F20" s="12" t="s">
        <v>3</v>
      </c>
      <c r="G20" s="1"/>
    </row>
    <row r="21" spans="1:7" x14ac:dyDescent="0.25">
      <c r="A21" s="1"/>
      <c r="B21" s="109" t="s">
        <v>54</v>
      </c>
      <c r="C21" s="110"/>
      <c r="D21" s="111"/>
      <c r="E21" s="8">
        <f>-E20*'Fane 13. Nøgletal'!C20</f>
        <v>0</v>
      </c>
      <c r="F21" s="12" t="s">
        <v>3</v>
      </c>
      <c r="G21" s="1"/>
    </row>
    <row r="22" spans="1:7" x14ac:dyDescent="0.25">
      <c r="A22" s="1"/>
      <c r="B22" s="117" t="s">
        <v>85</v>
      </c>
      <c r="C22" s="118"/>
      <c r="D22" s="119"/>
      <c r="E22" s="10">
        <f>SUM(E20:E21)*(1+'Fane 13. Nøgletal'!C15)^4</f>
        <v>0</v>
      </c>
      <c r="F22" s="11" t="s">
        <v>3</v>
      </c>
      <c r="G22" s="1"/>
    </row>
    <row r="23" spans="1:7" x14ac:dyDescent="0.25">
      <c r="A23" s="1"/>
      <c r="B23" s="1"/>
      <c r="C23" s="1"/>
      <c r="D23" s="1"/>
      <c r="E23" s="1"/>
      <c r="F23" s="1"/>
      <c r="G23" s="1"/>
    </row>
    <row r="24" spans="1:7" ht="15" customHeight="1" x14ac:dyDescent="0.25">
      <c r="A24" s="1"/>
      <c r="B24" s="117" t="s">
        <v>129</v>
      </c>
      <c r="C24" s="118"/>
      <c r="D24" s="118"/>
      <c r="E24" s="118"/>
      <c r="F24" s="119"/>
      <c r="G24" s="1"/>
    </row>
    <row r="25" spans="1:7" ht="14.25" customHeight="1" x14ac:dyDescent="0.25">
      <c r="A25" s="1"/>
      <c r="B25" s="138" t="s">
        <v>139</v>
      </c>
      <c r="C25" s="139"/>
      <c r="D25" s="140"/>
      <c r="E25" s="8">
        <v>0</v>
      </c>
      <c r="F25" s="12" t="s">
        <v>3</v>
      </c>
      <c r="G25" s="1"/>
    </row>
    <row r="26" spans="1:7" x14ac:dyDescent="0.25">
      <c r="A26" s="1"/>
      <c r="B26" s="109" t="s">
        <v>54</v>
      </c>
      <c r="C26" s="110"/>
      <c r="D26" s="111"/>
      <c r="E26" s="8">
        <f>-E25*'Fane 13. Nøgletal'!C20</f>
        <v>0</v>
      </c>
      <c r="F26" s="12" t="s">
        <v>3</v>
      </c>
      <c r="G26" s="1"/>
    </row>
    <row r="27" spans="1:7" x14ac:dyDescent="0.25">
      <c r="A27" s="1"/>
      <c r="B27" s="117" t="s">
        <v>130</v>
      </c>
      <c r="C27" s="118"/>
      <c r="D27" s="119"/>
      <c r="E27" s="10">
        <f>SUM(E25:E26)*(1+'Fane 13. Nøgletal'!C15)^5</f>
        <v>0</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gH0rqj81OSPq9mSaDMKAA8Zqb7S74JiarG3WF1IdNQBMez1fXCDyaQ309Q2+crElqRmsmH/bXMQQxRWtqNiMQ==" saltValue="Sc6pyV2jtNZnc+FT1OaHAg=="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3:F5"/>
    <mergeCell ref="B12:D12"/>
    <mergeCell ref="B14:F14"/>
    <mergeCell ref="B9:F9"/>
    <mergeCell ref="B22:D22"/>
    <mergeCell ref="B19:F19"/>
    <mergeCell ref="B20:D20"/>
    <mergeCell ref="B17:D17"/>
    <mergeCell ref="B15:D15"/>
    <mergeCell ref="B16:D16"/>
    <mergeCell ref="B21:D21"/>
    <mergeCell ref="B10:D10"/>
    <mergeCell ref="B24:F24"/>
    <mergeCell ref="B25:D25"/>
    <mergeCell ref="B26:D26"/>
    <mergeCell ref="B27:D27"/>
    <mergeCell ref="B11:D1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158</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69</v>
      </c>
      <c r="C8" s="118"/>
      <c r="D8" s="118"/>
      <c r="E8" s="118"/>
      <c r="F8" s="119"/>
      <c r="G8" s="1"/>
    </row>
    <row r="9" spans="1:7" ht="15" customHeight="1" x14ac:dyDescent="0.25">
      <c r="A9" s="1"/>
      <c r="B9" s="79" t="s">
        <v>70</v>
      </c>
      <c r="C9" s="144" t="s">
        <v>9</v>
      </c>
      <c r="D9" s="145"/>
      <c r="E9" s="144" t="s">
        <v>25</v>
      </c>
      <c r="F9" s="145"/>
      <c r="G9" s="1"/>
    </row>
    <row r="10" spans="1:7" x14ac:dyDescent="0.25">
      <c r="A10" s="1"/>
      <c r="B10" s="20" t="s">
        <v>169</v>
      </c>
      <c r="C10" s="8">
        <v>0</v>
      </c>
      <c r="D10" s="12" t="s">
        <v>3</v>
      </c>
      <c r="E10" s="8">
        <v>0</v>
      </c>
      <c r="F10" s="12" t="s">
        <v>3</v>
      </c>
      <c r="G10" s="1"/>
    </row>
    <row r="11" spans="1:7" ht="28.5" customHeight="1" x14ac:dyDescent="0.25">
      <c r="A11" s="1"/>
      <c r="B11" s="18" t="s">
        <v>86</v>
      </c>
      <c r="C11" s="10">
        <f>SUM(C10:C10)</f>
        <v>0</v>
      </c>
      <c r="D11" s="11" t="s">
        <v>3</v>
      </c>
      <c r="E11" s="10">
        <f>SUM(E10:E10)</f>
        <v>0</v>
      </c>
      <c r="F11" s="11" t="s">
        <v>3</v>
      </c>
      <c r="G11" s="1"/>
    </row>
    <row r="12" spans="1:7" ht="27" customHeight="1" x14ac:dyDescent="0.25">
      <c r="A12" s="1"/>
      <c r="B12" s="18" t="s">
        <v>131</v>
      </c>
      <c r="C12" s="10">
        <f>C11*(1+'Fane 13. Nøgletal'!C15)</f>
        <v>0</v>
      </c>
      <c r="D12" s="11" t="s">
        <v>3</v>
      </c>
      <c r="E12" s="10">
        <f>E11*(1+'Fane 13.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6bam520QD6ty8lleFntgUyZridG70/B9/XYAQbsRAHJEK0Z6XXsMIzuTNBE8BHxSfnuXUQEcyQmk/R4m4E8bgA==" saltValue="acHlyZFu/FTNnJgjjwFruA=="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159</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45</v>
      </c>
      <c r="C9" s="118"/>
      <c r="D9" s="118"/>
      <c r="E9" s="118"/>
      <c r="F9" s="119"/>
      <c r="G9" s="1"/>
    </row>
    <row r="10" spans="1:7" ht="15" customHeight="1" x14ac:dyDescent="0.25">
      <c r="A10" s="1"/>
      <c r="B10" s="79" t="s">
        <v>16</v>
      </c>
      <c r="C10" s="79" t="s">
        <v>9</v>
      </c>
      <c r="D10" s="80"/>
      <c r="E10" s="79" t="s">
        <v>25</v>
      </c>
      <c r="F10" s="80"/>
      <c r="G10" s="1"/>
    </row>
    <row r="11" spans="1:7" x14ac:dyDescent="0.25">
      <c r="A11" s="1"/>
      <c r="B11" s="20" t="s">
        <v>94</v>
      </c>
      <c r="C11" s="8">
        <v>0</v>
      </c>
      <c r="D11" s="12" t="s">
        <v>3</v>
      </c>
      <c r="E11" s="8">
        <v>0</v>
      </c>
      <c r="F11" s="12" t="s">
        <v>3</v>
      </c>
      <c r="G11" s="1"/>
    </row>
    <row r="12" spans="1:7" x14ac:dyDescent="0.25">
      <c r="A12" s="1"/>
      <c r="B12" s="81" t="s">
        <v>138</v>
      </c>
      <c r="C12" s="10">
        <f>SUM(C11:C11)</f>
        <v>0</v>
      </c>
      <c r="D12" s="11" t="s">
        <v>3</v>
      </c>
      <c r="E12" s="10">
        <f>SUM(E11:E11)</f>
        <v>0</v>
      </c>
      <c r="F12" s="11" t="s">
        <v>3</v>
      </c>
      <c r="G12" s="1"/>
    </row>
    <row r="13" spans="1:7" x14ac:dyDescent="0.25">
      <c r="A13" s="1"/>
      <c r="B13" s="81" t="s">
        <v>41</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43"/>
      <c r="C15" s="143"/>
      <c r="D15" s="143"/>
      <c r="E15" s="143"/>
      <c r="F15" s="143"/>
      <c r="G15" s="1"/>
    </row>
    <row r="16" spans="1:7" ht="15" customHeight="1" x14ac:dyDescent="0.25">
      <c r="A16" s="1"/>
      <c r="B16" s="47"/>
      <c r="C16" s="47"/>
      <c r="D16" s="47"/>
      <c r="E16" s="47"/>
      <c r="F16" s="47"/>
      <c r="G16" s="1"/>
    </row>
    <row r="17" spans="1:7" x14ac:dyDescent="0.25">
      <c r="A17" s="1"/>
      <c r="B17" s="48"/>
      <c r="C17" s="55"/>
      <c r="D17" s="50"/>
      <c r="E17" s="55"/>
      <c r="F17" s="50"/>
      <c r="G17" s="1"/>
    </row>
    <row r="18" spans="1:7" x14ac:dyDescent="0.25">
      <c r="A18" s="1"/>
      <c r="B18" s="51"/>
      <c r="C18" s="52"/>
      <c r="D18" s="53"/>
      <c r="E18" s="52"/>
      <c r="F18" s="53"/>
      <c r="G18" s="1"/>
    </row>
    <row r="19" spans="1:7" x14ac:dyDescent="0.25">
      <c r="A19" s="1"/>
      <c r="B19" s="51"/>
      <c r="C19" s="52"/>
      <c r="D19" s="53"/>
      <c r="E19" s="52"/>
      <c r="F19" s="53"/>
      <c r="G19" s="1"/>
    </row>
    <row r="20" spans="1:7" x14ac:dyDescent="0.25">
      <c r="A20" s="1"/>
      <c r="B20" s="54"/>
      <c r="C20" s="54"/>
      <c r="D20" s="54"/>
      <c r="E20" s="54"/>
      <c r="F20" s="54"/>
      <c r="G20" s="1"/>
    </row>
    <row r="21" spans="1:7" x14ac:dyDescent="0.25">
      <c r="A21" s="1"/>
      <c r="B21" s="143"/>
      <c r="C21" s="143"/>
      <c r="D21" s="143"/>
      <c r="E21" s="143"/>
      <c r="F21" s="143"/>
      <c r="G21" s="1"/>
    </row>
    <row r="22" spans="1:7" ht="15" customHeight="1" x14ac:dyDescent="0.25">
      <c r="A22" s="1"/>
      <c r="B22" s="47"/>
      <c r="C22" s="47"/>
      <c r="D22" s="47"/>
      <c r="E22" s="47"/>
      <c r="F22" s="47"/>
      <c r="G22" s="1"/>
    </row>
    <row r="23" spans="1:7" x14ac:dyDescent="0.25">
      <c r="A23" s="1"/>
      <c r="B23" s="48"/>
      <c r="C23" s="55"/>
      <c r="D23" s="50"/>
      <c r="E23" s="55"/>
      <c r="F23" s="50"/>
      <c r="G23" s="1"/>
    </row>
    <row r="24" spans="1:7" x14ac:dyDescent="0.25">
      <c r="A24" s="1"/>
      <c r="B24" s="51"/>
      <c r="C24" s="52"/>
      <c r="D24" s="53"/>
      <c r="E24" s="52"/>
      <c r="F24" s="53"/>
      <c r="G24" s="1"/>
    </row>
    <row r="25" spans="1:7" x14ac:dyDescent="0.25">
      <c r="A25" s="1"/>
      <c r="B25" s="51"/>
      <c r="C25" s="52"/>
      <c r="D25" s="53"/>
      <c r="E25" s="52"/>
      <c r="F25" s="53"/>
      <c r="G25" s="1"/>
    </row>
    <row r="26" spans="1:7" x14ac:dyDescent="0.25">
      <c r="A26" s="1"/>
      <c r="B26" s="54"/>
      <c r="C26" s="54"/>
      <c r="D26" s="54"/>
      <c r="E26" s="54"/>
      <c r="F26" s="54"/>
      <c r="G26" s="1"/>
    </row>
    <row r="27" spans="1:7" x14ac:dyDescent="0.25">
      <c r="A27" s="1"/>
      <c r="B27" s="143"/>
      <c r="C27" s="143"/>
      <c r="D27" s="143"/>
      <c r="E27" s="143"/>
      <c r="F27" s="143"/>
      <c r="G27" s="1"/>
    </row>
    <row r="28" spans="1:7" ht="15" customHeight="1" x14ac:dyDescent="0.25">
      <c r="A28" s="1"/>
      <c r="B28" s="47"/>
      <c r="C28" s="47"/>
      <c r="D28" s="47"/>
      <c r="E28" s="47"/>
      <c r="F28" s="47"/>
      <c r="G28" s="1"/>
    </row>
    <row r="29" spans="1:7" x14ac:dyDescent="0.25">
      <c r="A29" s="1"/>
      <c r="B29" s="48"/>
      <c r="C29" s="55"/>
      <c r="D29" s="50"/>
      <c r="E29" s="55"/>
      <c r="F29" s="50"/>
      <c r="G29" s="1"/>
    </row>
    <row r="30" spans="1:7" x14ac:dyDescent="0.25">
      <c r="A30" s="1"/>
      <c r="B30" s="51"/>
      <c r="C30" s="52"/>
      <c r="D30" s="53"/>
      <c r="E30" s="52"/>
      <c r="F30" s="53"/>
      <c r="G30" s="1"/>
    </row>
    <row r="31" spans="1:7" x14ac:dyDescent="0.25">
      <c r="A31" s="1"/>
      <c r="B31" s="5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OL6LWpvlc451g+CRdMgY/b06RMBdH/2wQVHcl1iAJwIsYuH5P6PXZBRBLySMZSzRec7vY3QLRU39PPHl4zJuTw==" saltValue="EaR8YSse/X8ybKv24jN8dw=="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D49"/>
  <sheetViews>
    <sheetView showGridLines="0" view="pageLayout" zoomScale="87" zoomScaleNormal="80" zoomScalePageLayoutView="87"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5" t="s">
        <v>160</v>
      </c>
      <c r="C3" s="115"/>
      <c r="D3" s="1"/>
    </row>
    <row r="4" spans="1:4" ht="25.5" customHeight="1" x14ac:dyDescent="0.25">
      <c r="A4" s="1"/>
      <c r="B4" s="115"/>
      <c r="C4" s="11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81" t="s">
        <v>12</v>
      </c>
      <c r="C8" s="82"/>
      <c r="D8" s="1"/>
    </row>
    <row r="9" spans="1:4" x14ac:dyDescent="0.25">
      <c r="A9" s="1"/>
      <c r="B9" s="23" t="s">
        <v>90</v>
      </c>
      <c r="C9" s="21">
        <v>1.2699999999999999E-2</v>
      </c>
      <c r="D9" s="1"/>
    </row>
    <row r="10" spans="1:4" x14ac:dyDescent="0.25">
      <c r="A10" s="1"/>
      <c r="B10" s="23" t="s">
        <v>87</v>
      </c>
      <c r="C10" s="21">
        <v>1.7500000000000002E-2</v>
      </c>
      <c r="D10" s="1"/>
    </row>
    <row r="11" spans="1:4" x14ac:dyDescent="0.25">
      <c r="A11" s="1"/>
      <c r="B11" s="23" t="s">
        <v>21</v>
      </c>
      <c r="C11" s="21">
        <v>1.6899999999999998E-2</v>
      </c>
      <c r="D11" s="1"/>
    </row>
    <row r="12" spans="1:4" x14ac:dyDescent="0.25">
      <c r="A12" s="1"/>
      <c r="B12" s="23" t="s">
        <v>32</v>
      </c>
      <c r="C12" s="21">
        <v>1.9699999999999999E-2</v>
      </c>
      <c r="D12" s="1"/>
    </row>
    <row r="13" spans="1:4" x14ac:dyDescent="0.25">
      <c r="A13" s="1"/>
      <c r="B13" s="25" t="s">
        <v>71</v>
      </c>
      <c r="C13" s="36">
        <v>1.32E-2</v>
      </c>
      <c r="D13" s="1"/>
    </row>
    <row r="14" spans="1:4" x14ac:dyDescent="0.25">
      <c r="A14" s="1"/>
      <c r="B14" s="25" t="s">
        <v>88</v>
      </c>
      <c r="C14" s="26">
        <v>3.3E-3</v>
      </c>
      <c r="D14" s="1"/>
    </row>
    <row r="15" spans="1:4" x14ac:dyDescent="0.25">
      <c r="A15" s="1"/>
      <c r="B15" s="25" t="s">
        <v>132</v>
      </c>
      <c r="C15" s="40">
        <v>3.56E-2</v>
      </c>
      <c r="D15" s="1"/>
    </row>
    <row r="16" spans="1:4" x14ac:dyDescent="0.25">
      <c r="A16" s="1"/>
      <c r="B16" s="81"/>
      <c r="C16" s="82"/>
      <c r="D16" s="1"/>
    </row>
    <row r="17" spans="1:4" x14ac:dyDescent="0.25">
      <c r="A17" s="1"/>
      <c r="B17" s="1"/>
      <c r="C17" s="1"/>
      <c r="D17" s="1"/>
    </row>
    <row r="18" spans="1:4" x14ac:dyDescent="0.25">
      <c r="A18" s="1"/>
      <c r="B18" s="1"/>
      <c r="C18" s="1"/>
      <c r="D18" s="1"/>
    </row>
    <row r="19" spans="1:4" x14ac:dyDescent="0.25">
      <c r="A19" s="1"/>
      <c r="B19" s="81" t="s">
        <v>54</v>
      </c>
      <c r="C19" s="82"/>
      <c r="D19" s="1"/>
    </row>
    <row r="20" spans="1:4" x14ac:dyDescent="0.25">
      <c r="A20" s="1"/>
      <c r="B20" s="23" t="s">
        <v>60</v>
      </c>
      <c r="C20" s="21">
        <v>1.7000000000000001E-2</v>
      </c>
      <c r="D20" s="1"/>
    </row>
    <row r="21" spans="1:4" x14ac:dyDescent="0.25">
      <c r="A21" s="1"/>
      <c r="B21" s="146"/>
      <c r="C21" s="147"/>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C6YKwAClCoNDm8gXijcy6ArTYWHm/rcueEoyerFIyJUfFoyYwYyItbdleb5trsJ7HCwU218e4b1oCU/FF+Nng==" saltValue="kMBIhMZue6cP8LwAM+IBWA=="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3" width="9.140625" style="2" hidden="1" customWidth="1"/>
    <col min="4" max="4" width="27.140625"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104</v>
      </c>
      <c r="C3" s="101"/>
      <c r="D3" s="101"/>
      <c r="E3" s="101"/>
      <c r="F3" s="101"/>
      <c r="G3" s="1"/>
    </row>
    <row r="4" spans="1:7" ht="15" customHeight="1" x14ac:dyDescent="0.25">
      <c r="A4" s="1"/>
      <c r="B4" s="101"/>
      <c r="C4" s="101"/>
      <c r="D4" s="101"/>
      <c r="E4" s="101"/>
      <c r="F4" s="101"/>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27" t="s">
        <v>11</v>
      </c>
      <c r="C8" s="27"/>
      <c r="D8" s="27"/>
      <c r="E8" s="27"/>
      <c r="F8" s="27"/>
      <c r="G8" s="1"/>
    </row>
    <row r="9" spans="1:7" x14ac:dyDescent="0.25">
      <c r="A9" s="1"/>
      <c r="B9" s="65" t="s">
        <v>79</v>
      </c>
      <c r="C9" s="65"/>
      <c r="D9" s="65"/>
      <c r="E9" s="7">
        <f>'Fane 3. Omkostninger i ØR2022'!$E$16</f>
        <v>18513378.282010078</v>
      </c>
      <c r="F9" s="65" t="s">
        <v>3</v>
      </c>
      <c r="G9" s="1"/>
    </row>
    <row r="10" spans="1:7" x14ac:dyDescent="0.25">
      <c r="A10" s="1"/>
      <c r="B10" s="63" t="s">
        <v>137</v>
      </c>
      <c r="C10" s="65"/>
      <c r="D10" s="65"/>
      <c r="E10" s="7">
        <f>'Fane 3. Omkostninger i ØR2022'!E10*(1+'Fane 13. Nøgletal'!C13)*(1-'Fane 13. Nøgletal'!C20)</f>
        <v>169621.19145781334</v>
      </c>
      <c r="F10" s="65" t="s">
        <v>3</v>
      </c>
      <c r="G10" s="1"/>
    </row>
    <row r="11" spans="1:7" x14ac:dyDescent="0.25">
      <c r="A11" s="1"/>
      <c r="B11" s="32" t="s">
        <v>89</v>
      </c>
      <c r="C11" s="65"/>
      <c r="D11" s="65"/>
      <c r="E11" s="7">
        <f>('Fane 3. Omkostninger i ØR2022'!E11+'Fane 3. Omkostninger i ØR2022'!E12)*(1+'Fane 13. Nøgletal'!C14)*(1-'Fane 13. Nøgletal'!C20)</f>
        <v>12535.956558198031</v>
      </c>
      <c r="F11" s="65" t="s">
        <v>3</v>
      </c>
      <c r="G11" s="1"/>
    </row>
    <row r="12" spans="1:7" ht="17.100000000000001" customHeight="1" x14ac:dyDescent="0.25">
      <c r="A12" s="1"/>
      <c r="B12" s="24" t="s">
        <v>61</v>
      </c>
      <c r="C12" s="65"/>
      <c r="D12" s="65"/>
      <c r="E12" s="7">
        <f>'Fane 9.1. Varige tillæg'!C13+'Fane 9.1. Varige tillæg'!E13</f>
        <v>65789.596799999999</v>
      </c>
      <c r="F12" s="65" t="s">
        <v>3</v>
      </c>
      <c r="G12" s="1"/>
    </row>
    <row r="13" spans="1:7" ht="17.100000000000001" customHeight="1" x14ac:dyDescent="0.25">
      <c r="A13" s="1"/>
      <c r="B13" s="24" t="s">
        <v>62</v>
      </c>
      <c r="C13" s="65"/>
      <c r="D13" s="65"/>
      <c r="E13" s="8">
        <f>-('Fane 12. Bortfald'!C13+'Fane 12. Bortfald'!E13)</f>
        <v>0</v>
      </c>
      <c r="F13" s="65" t="s">
        <v>3</v>
      </c>
      <c r="G13" s="1"/>
    </row>
    <row r="14" spans="1:7" ht="17.100000000000001" customHeight="1" x14ac:dyDescent="0.25">
      <c r="A14" s="1"/>
      <c r="B14" s="24" t="s">
        <v>64</v>
      </c>
      <c r="C14" s="65"/>
      <c r="D14" s="65"/>
      <c r="E14" s="8">
        <f>'Fane 11. Tilknyttet virksomhed'!C12+'Fane 11. Tilknyttet virksomhed'!E12</f>
        <v>0</v>
      </c>
      <c r="F14" s="65" t="s">
        <v>3</v>
      </c>
      <c r="G14" s="1"/>
    </row>
    <row r="15" spans="1:7" ht="17.100000000000001" customHeight="1" x14ac:dyDescent="0.25">
      <c r="A15" s="1"/>
      <c r="B15" s="24" t="s">
        <v>17</v>
      </c>
      <c r="C15" s="65"/>
      <c r="D15" s="65"/>
      <c r="E15" s="8">
        <f>(E9-SUM(E10:E11))*'Fane 13. Nøgletal'!C13+'Fane 2.1. Økonomisk ramme 2023'!E10*'Fane 13. Nøgletal'!C13+'Fane 2.1. Økonomisk ramme 2023'!E11*'Fane 13. Nøgletal'!C14+SUM('Fane 2.1. Økonomisk ramme 2023'!E12:E14)*'Fane 13. Nøgletal'!C15</f>
        <v>246594.59699868687</v>
      </c>
      <c r="F15" s="65" t="s">
        <v>3</v>
      </c>
      <c r="G15" s="1"/>
    </row>
    <row r="16" spans="1:7" ht="17.100000000000001" customHeight="1" x14ac:dyDescent="0.25">
      <c r="A16" s="1"/>
      <c r="B16" s="24" t="s">
        <v>54</v>
      </c>
      <c r="C16" s="65"/>
      <c r="D16" s="65"/>
      <c r="E16" s="8">
        <f>-SUM(E9,E12:E15)*'Fane 13. Nøgletal'!C20</f>
        <v>-320037.96208874905</v>
      </c>
      <c r="F16" s="65" t="s">
        <v>3</v>
      </c>
      <c r="G16" s="1"/>
    </row>
    <row r="17" spans="1:7" ht="15" customHeight="1" x14ac:dyDescent="0.25">
      <c r="A17" s="1"/>
      <c r="B17" s="74" t="s">
        <v>19</v>
      </c>
      <c r="C17" s="37"/>
      <c r="D17" s="37"/>
      <c r="E17" s="9">
        <f>SUM(E9,E12:E16)</f>
        <v>18505724.513720017</v>
      </c>
      <c r="F17" s="28" t="s">
        <v>3</v>
      </c>
      <c r="G17" s="1"/>
    </row>
    <row r="18" spans="1:7" ht="15" customHeight="1" x14ac:dyDescent="0.25">
      <c r="A18" s="1"/>
      <c r="B18" s="27" t="s">
        <v>10</v>
      </c>
      <c r="C18" s="27"/>
      <c r="D18" s="27"/>
      <c r="E18" s="27"/>
      <c r="F18" s="27"/>
      <c r="G18" s="1"/>
    </row>
    <row r="19" spans="1:7" ht="15" customHeight="1" x14ac:dyDescent="0.25">
      <c r="A19" s="1"/>
      <c r="B19" s="28" t="s">
        <v>10</v>
      </c>
      <c r="C19" s="28"/>
      <c r="D19" s="28"/>
      <c r="E19" s="9">
        <f>'Fane 4. Ikke-påvirkelige omk.'!C13+'Fane 4. Ikke-påvirkelige omk.'!C17+'Fane 4. Ikke-påvirkelige omk.'!C25</f>
        <v>4530569.7352862405</v>
      </c>
      <c r="F19" s="28" t="s">
        <v>3</v>
      </c>
      <c r="G19" s="1"/>
    </row>
    <row r="20" spans="1:7" ht="15" customHeight="1" x14ac:dyDescent="0.25">
      <c r="A20" s="1"/>
      <c r="B20" s="27" t="s">
        <v>39</v>
      </c>
      <c r="C20" s="27"/>
      <c r="D20" s="27"/>
      <c r="E20" s="27"/>
      <c r="F20" s="27"/>
      <c r="G20" s="1"/>
    </row>
    <row r="21" spans="1:7" ht="15" customHeight="1" x14ac:dyDescent="0.25">
      <c r="A21" s="1"/>
      <c r="B21" s="74" t="s">
        <v>39</v>
      </c>
      <c r="C21" s="37"/>
      <c r="D21" s="37"/>
      <c r="E21" s="9">
        <f>'Fane 10. Periodevise driftsomk.'!E12</f>
        <v>0</v>
      </c>
      <c r="F21" s="28" t="s">
        <v>3</v>
      </c>
      <c r="G21" s="1"/>
    </row>
    <row r="22" spans="1:7" ht="15" customHeight="1" x14ac:dyDescent="0.25">
      <c r="A22" s="1"/>
      <c r="B22" s="27" t="s">
        <v>38</v>
      </c>
      <c r="C22" s="27"/>
      <c r="D22" s="27"/>
      <c r="E22" s="27"/>
      <c r="F22" s="27"/>
      <c r="G22" s="1"/>
    </row>
    <row r="23" spans="1:7" ht="15" customHeight="1" x14ac:dyDescent="0.25">
      <c r="A23" s="1"/>
      <c r="B23" s="24" t="s">
        <v>34</v>
      </c>
      <c r="C23" s="65"/>
      <c r="D23" s="65"/>
      <c r="E23" s="8">
        <f>'Fane 9.2. Engangstillæg'!C13</f>
        <v>0</v>
      </c>
      <c r="F23" s="65" t="s">
        <v>3</v>
      </c>
      <c r="G23" s="1"/>
    </row>
    <row r="24" spans="1:7" x14ac:dyDescent="0.25">
      <c r="A24" s="1"/>
      <c r="B24" s="24" t="s">
        <v>35</v>
      </c>
      <c r="C24" s="65"/>
      <c r="D24" s="65"/>
      <c r="E24" s="8">
        <f>'Fane 9.2. Engangstillæg'!E13</f>
        <v>0</v>
      </c>
      <c r="F24" s="65" t="s">
        <v>3</v>
      </c>
      <c r="G24" s="1"/>
    </row>
    <row r="25" spans="1:7" x14ac:dyDescent="0.25">
      <c r="A25" s="1"/>
      <c r="B25" s="24" t="s">
        <v>141</v>
      </c>
      <c r="C25" s="65"/>
      <c r="D25" s="65"/>
      <c r="E25" s="8">
        <f>-SUM(E23:E24)*'Fane 13. Nøgletal'!C20</f>
        <v>0</v>
      </c>
      <c r="F25" s="65" t="s">
        <v>3</v>
      </c>
      <c r="G25" s="1"/>
    </row>
    <row r="26" spans="1:7" ht="15" customHeight="1" x14ac:dyDescent="0.25">
      <c r="A26" s="1"/>
      <c r="B26" s="74" t="s">
        <v>40</v>
      </c>
      <c r="C26" s="37"/>
      <c r="D26" s="37"/>
      <c r="E26" s="9">
        <f>SUM(E23:E25)</f>
        <v>0</v>
      </c>
      <c r="F26" s="28" t="s">
        <v>3</v>
      </c>
      <c r="G26" s="1"/>
    </row>
    <row r="27" spans="1:7" x14ac:dyDescent="0.25">
      <c r="A27" s="1"/>
      <c r="B27" s="27" t="s">
        <v>73</v>
      </c>
      <c r="C27" s="22"/>
      <c r="D27" s="82"/>
      <c r="E27" s="27"/>
      <c r="F27" s="27"/>
      <c r="G27" s="1"/>
    </row>
    <row r="28" spans="1:7" x14ac:dyDescent="0.25">
      <c r="A28" s="1"/>
      <c r="B28" s="28" t="s">
        <v>28</v>
      </c>
      <c r="C28" s="28"/>
      <c r="D28" s="28"/>
      <c r="E28" s="9">
        <f>'Fane 3. Omkostninger i ØR2022'!E26</f>
        <v>476899.9067069267</v>
      </c>
      <c r="F28" s="28" t="s">
        <v>3</v>
      </c>
      <c r="G28" s="1"/>
    </row>
    <row r="29" spans="1:7" x14ac:dyDescent="0.25">
      <c r="A29" s="1"/>
      <c r="B29" s="74" t="s">
        <v>72</v>
      </c>
      <c r="C29" s="38"/>
      <c r="D29" s="38"/>
      <c r="E29" s="9">
        <v>0</v>
      </c>
      <c r="F29" s="28" t="s">
        <v>3</v>
      </c>
      <c r="G29" s="1"/>
    </row>
    <row r="30" spans="1:7" x14ac:dyDescent="0.25">
      <c r="A30" s="1"/>
      <c r="B30" s="27" t="s">
        <v>78</v>
      </c>
      <c r="C30" s="27"/>
      <c r="D30" s="27"/>
      <c r="E30" s="27"/>
      <c r="F30" s="27"/>
      <c r="G30" s="1"/>
    </row>
    <row r="31" spans="1:7" x14ac:dyDescent="0.25">
      <c r="A31" s="1"/>
      <c r="B31" s="28" t="s">
        <v>103</v>
      </c>
      <c r="C31" s="28"/>
      <c r="D31" s="28"/>
      <c r="E31" s="9">
        <f>'Fane 6. Korrektion af ØR2021'!E17</f>
        <v>-73120</v>
      </c>
      <c r="F31" s="28" t="s">
        <v>3</v>
      </c>
      <c r="G31" s="1"/>
    </row>
    <row r="32" spans="1:7" x14ac:dyDescent="0.25">
      <c r="A32" s="1"/>
      <c r="B32" s="27" t="s">
        <v>92</v>
      </c>
      <c r="C32" s="27" t="s">
        <v>92</v>
      </c>
      <c r="D32" s="27" t="s">
        <v>92</v>
      </c>
      <c r="E32" s="27"/>
      <c r="F32" s="27"/>
      <c r="G32" s="1"/>
    </row>
    <row r="33" spans="1:7" x14ac:dyDescent="0.25">
      <c r="A33" s="1"/>
      <c r="B33" s="74" t="s">
        <v>93</v>
      </c>
      <c r="C33" s="9"/>
      <c r="D33" s="28" t="s">
        <v>3</v>
      </c>
      <c r="E33" s="9">
        <f>'Fane 7. Skattesagen'!G12</f>
        <v>0</v>
      </c>
      <c r="F33" s="28" t="s">
        <v>3</v>
      </c>
      <c r="G33" s="1"/>
    </row>
    <row r="34" spans="1:7" x14ac:dyDescent="0.25">
      <c r="A34" s="1"/>
      <c r="B34" s="27" t="s">
        <v>42</v>
      </c>
      <c r="C34" s="27"/>
      <c r="D34" s="27"/>
      <c r="E34" s="10">
        <f>SUM(E17,E19,E21,E26,E28,E29,E31,E33)</f>
        <v>23440074.155713182</v>
      </c>
      <c r="F34" s="11" t="s">
        <v>3</v>
      </c>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aQher/EcIcvlenDyZQk+gtBiFoKyZ9P/9gb9Y4hXFpWij3p++sqRYNWg+huTMuKfsjdDbOcd5MPFMHQ0TmrwQ==" saltValue="OWEX51MwGyswHNVGkPzKSg=="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105</v>
      </c>
      <c r="C3" s="101"/>
      <c r="D3" s="101"/>
      <c r="E3" s="101"/>
      <c r="F3" s="101"/>
      <c r="G3" s="1"/>
    </row>
    <row r="4" spans="1:7" ht="15" customHeight="1" x14ac:dyDescent="0.25">
      <c r="A4" s="1"/>
      <c r="B4" s="101"/>
      <c r="C4" s="101"/>
      <c r="D4" s="101"/>
      <c r="E4" s="101"/>
      <c r="F4" s="101"/>
      <c r="G4" s="1"/>
    </row>
    <row r="5" spans="1:7" x14ac:dyDescent="0.25">
      <c r="A5" s="1"/>
      <c r="B5" s="102" t="s">
        <v>91</v>
      </c>
      <c r="C5" s="102"/>
      <c r="D5" s="102"/>
      <c r="E5" s="102"/>
      <c r="F5" s="102"/>
      <c r="G5" s="1"/>
    </row>
    <row r="6" spans="1:7" x14ac:dyDescent="0.25">
      <c r="A6" s="1"/>
      <c r="B6" s="1"/>
      <c r="C6" s="1"/>
      <c r="D6" s="1"/>
      <c r="E6" s="1"/>
      <c r="F6" s="1"/>
      <c r="G6" s="1"/>
    </row>
    <row r="7" spans="1:7" x14ac:dyDescent="0.25">
      <c r="A7" s="1"/>
      <c r="B7" s="1"/>
      <c r="C7" s="1"/>
      <c r="D7" s="1"/>
      <c r="E7" s="1"/>
      <c r="F7" s="1"/>
      <c r="G7" s="1"/>
    </row>
    <row r="8" spans="1:7" x14ac:dyDescent="0.25">
      <c r="A8" s="1"/>
      <c r="B8" s="27" t="s">
        <v>11</v>
      </c>
      <c r="C8" s="27"/>
      <c r="D8" s="27"/>
      <c r="E8" s="27"/>
      <c r="F8" s="27"/>
      <c r="G8" s="1"/>
    </row>
    <row r="9" spans="1:7" ht="15" customHeight="1" x14ac:dyDescent="0.25">
      <c r="A9" s="1"/>
      <c r="B9" s="65" t="s">
        <v>106</v>
      </c>
      <c r="C9" s="65"/>
      <c r="D9" s="65"/>
      <c r="E9" s="7">
        <f>'Fane 2.1. Økonomisk ramme 2023'!E17</f>
        <v>18505724.513720017</v>
      </c>
      <c r="F9" s="65" t="s">
        <v>3</v>
      </c>
      <c r="G9" s="1"/>
    </row>
    <row r="10" spans="1:7" ht="15" customHeight="1" x14ac:dyDescent="0.25">
      <c r="A10" s="1"/>
      <c r="B10" s="63" t="s">
        <v>17</v>
      </c>
      <c r="C10" s="65"/>
      <c r="D10" s="65"/>
      <c r="E10" s="8">
        <f>SUM(E9:E9)*'Fane 13. Nøgletal'!C15</f>
        <v>658803.79268843262</v>
      </c>
      <c r="F10" s="65" t="s">
        <v>3</v>
      </c>
      <c r="G10" s="1"/>
    </row>
    <row r="11" spans="1:7" ht="15" customHeight="1" x14ac:dyDescent="0.25">
      <c r="A11" s="1"/>
      <c r="B11" s="63" t="s">
        <v>54</v>
      </c>
      <c r="C11" s="65"/>
      <c r="D11" s="65"/>
      <c r="E11" s="8">
        <f>-SUM(E9,E10)*'Fane 13. Nøgletal'!C20</f>
        <v>-325796.98120894365</v>
      </c>
      <c r="F11" s="65" t="s">
        <v>3</v>
      </c>
      <c r="G11" s="1"/>
    </row>
    <row r="12" spans="1:7" ht="15" customHeight="1" x14ac:dyDescent="0.25">
      <c r="A12" s="1"/>
      <c r="B12" s="37" t="s">
        <v>19</v>
      </c>
      <c r="C12" s="37"/>
      <c r="D12" s="37"/>
      <c r="E12" s="9">
        <f>SUM(E9:E11)</f>
        <v>18838731.325199507</v>
      </c>
      <c r="F12" s="28" t="s">
        <v>3</v>
      </c>
      <c r="G12" s="1"/>
    </row>
    <row r="13" spans="1:7" x14ac:dyDescent="0.25">
      <c r="A13" s="1"/>
      <c r="B13" s="27" t="s">
        <v>10</v>
      </c>
      <c r="C13" s="27"/>
      <c r="D13" s="27"/>
      <c r="E13" s="27"/>
      <c r="F13" s="27"/>
      <c r="G13" s="1"/>
    </row>
    <row r="14" spans="1:7" ht="15" customHeight="1" x14ac:dyDescent="0.25">
      <c r="A14" s="1"/>
      <c r="B14" s="28" t="s">
        <v>10</v>
      </c>
      <c r="C14" s="28"/>
      <c r="D14" s="28"/>
      <c r="E14" s="9">
        <f>'Fane 4. Ikke-påvirkelige omk.'!C13*(1+'Fane 13. Nøgletal'!C15)+'Fane 4. Ikke-påvirkelige omk.'!C18+'Fane 4. Ikke-påvirkelige omk.'!C26</f>
        <v>4664740.6754624303</v>
      </c>
      <c r="F14" s="28" t="s">
        <v>3</v>
      </c>
      <c r="G14" s="1"/>
    </row>
    <row r="15" spans="1:7" ht="15" customHeight="1" x14ac:dyDescent="0.25">
      <c r="A15" s="1"/>
      <c r="B15" s="27" t="s">
        <v>39</v>
      </c>
      <c r="C15" s="27"/>
      <c r="D15" s="27"/>
      <c r="E15" s="27"/>
      <c r="F15" s="27"/>
      <c r="G15" s="1"/>
    </row>
    <row r="16" spans="1:7" ht="15" customHeight="1" x14ac:dyDescent="0.25">
      <c r="A16" s="1"/>
      <c r="B16" s="74" t="s">
        <v>39</v>
      </c>
      <c r="C16" s="37"/>
      <c r="D16" s="37"/>
      <c r="E16" s="9">
        <f>'Fane 10. Periodevise driftsomk.'!E17</f>
        <v>0</v>
      </c>
      <c r="F16" s="28" t="s">
        <v>3</v>
      </c>
      <c r="G16" s="1"/>
    </row>
    <row r="17" spans="1:7" x14ac:dyDescent="0.25">
      <c r="A17" s="1"/>
      <c r="B17" s="27" t="s">
        <v>73</v>
      </c>
      <c r="C17" s="22"/>
      <c r="D17" s="82"/>
      <c r="E17" s="27"/>
      <c r="F17" s="27"/>
      <c r="G17" s="1"/>
    </row>
    <row r="18" spans="1:7" x14ac:dyDescent="0.25">
      <c r="A18" s="1"/>
      <c r="B18" s="74" t="s">
        <v>72</v>
      </c>
      <c r="C18" s="38">
        <f>'Fane 5. Kontrol af ØR2021'!C32</f>
        <v>0</v>
      </c>
      <c r="D18" s="38"/>
      <c r="E18" s="9">
        <f>'Fane 5. Kontrol af ØR2021'!E32</f>
        <v>0</v>
      </c>
      <c r="F18" s="28" t="s">
        <v>3</v>
      </c>
      <c r="G18" s="1"/>
    </row>
    <row r="19" spans="1:7" x14ac:dyDescent="0.25">
      <c r="A19" s="1"/>
      <c r="B19" s="27" t="s">
        <v>92</v>
      </c>
      <c r="C19" s="27" t="s">
        <v>92</v>
      </c>
      <c r="D19" s="27" t="s">
        <v>92</v>
      </c>
      <c r="E19" s="27"/>
      <c r="F19" s="27"/>
      <c r="G19" s="1"/>
    </row>
    <row r="20" spans="1:7" x14ac:dyDescent="0.25">
      <c r="A20" s="1"/>
      <c r="B20" s="74" t="s">
        <v>93</v>
      </c>
      <c r="C20" s="9"/>
      <c r="D20" s="28" t="s">
        <v>3</v>
      </c>
      <c r="E20" s="9">
        <f>'Fane 7. Skattesagen'!G13</f>
        <v>0</v>
      </c>
      <c r="F20" s="28" t="s">
        <v>3</v>
      </c>
      <c r="G20" s="1"/>
    </row>
    <row r="21" spans="1:7" x14ac:dyDescent="0.25">
      <c r="A21" s="1"/>
      <c r="B21" s="27" t="s">
        <v>65</v>
      </c>
      <c r="C21" s="27"/>
      <c r="D21" s="27"/>
      <c r="E21" s="10">
        <f>SUM(E12,E14,E16,E18,E20)</f>
        <v>23503472.000661939</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6kbGNgxYRLvlRl2qEZ924Gop9LVyRHwszSLifU3ChsboWFdhPbK+KuWu+DFJtCEF22QcajHn8k2wvWGuvyzW4Q==" saltValue="hTooMEWDNuplNKozQCb05g=="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4"/>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107</v>
      </c>
      <c r="C3" s="101"/>
      <c r="D3" s="101"/>
      <c r="E3" s="101"/>
      <c r="F3" s="101"/>
      <c r="G3" s="1"/>
    </row>
    <row r="4" spans="1:7" ht="15" customHeight="1" x14ac:dyDescent="0.25">
      <c r="A4" s="1"/>
      <c r="B4" s="101"/>
      <c r="C4" s="101"/>
      <c r="D4" s="101"/>
      <c r="E4" s="101"/>
      <c r="F4" s="101"/>
      <c r="G4" s="1"/>
    </row>
    <row r="5" spans="1:7" x14ac:dyDescent="0.25">
      <c r="A5" s="1"/>
      <c r="B5" s="102" t="s">
        <v>91</v>
      </c>
      <c r="C5" s="102"/>
      <c r="D5" s="102"/>
      <c r="E5" s="102"/>
      <c r="F5" s="102"/>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5" t="s">
        <v>80</v>
      </c>
      <c r="C8" s="65"/>
      <c r="D8" s="65"/>
      <c r="E8" s="7">
        <f>'Fane 2.2. Økonomisk ramme 2024'!E12</f>
        <v>18838731.325199507</v>
      </c>
      <c r="F8" s="65" t="s">
        <v>3</v>
      </c>
      <c r="G8" s="1"/>
    </row>
    <row r="9" spans="1:7" ht="15" customHeight="1" x14ac:dyDescent="0.25">
      <c r="A9" s="1"/>
      <c r="B9" s="63" t="s">
        <v>17</v>
      </c>
      <c r="C9" s="65"/>
      <c r="D9" s="65"/>
      <c r="E9" s="8">
        <f>SUM(E8:E8)*('Fane 13. Nøgletal'!C15)</f>
        <v>670658.83517710248</v>
      </c>
      <c r="F9" s="65" t="s">
        <v>3</v>
      </c>
      <c r="G9" s="1"/>
    </row>
    <row r="10" spans="1:7" x14ac:dyDescent="0.25">
      <c r="A10" s="1"/>
      <c r="B10" s="63" t="s">
        <v>54</v>
      </c>
      <c r="C10" s="65"/>
      <c r="D10" s="65"/>
      <c r="E10" s="8">
        <f>-SUM(E8:E9)*'Fane 13. Nøgletal'!C20</f>
        <v>-331659.63272640237</v>
      </c>
      <c r="F10" s="65" t="s">
        <v>3</v>
      </c>
      <c r="G10" s="1"/>
    </row>
    <row r="11" spans="1:7" x14ac:dyDescent="0.25">
      <c r="A11" s="1"/>
      <c r="B11" s="37" t="s">
        <v>19</v>
      </c>
      <c r="C11" s="37"/>
      <c r="D11" s="37"/>
      <c r="E11" s="9">
        <f>SUM(E8:E10)</f>
        <v>19177730.527650207</v>
      </c>
      <c r="F11" s="28" t="s">
        <v>3</v>
      </c>
      <c r="G11" s="1"/>
    </row>
    <row r="12" spans="1:7" ht="15" customHeight="1" x14ac:dyDescent="0.25">
      <c r="A12" s="1"/>
      <c r="B12" s="27" t="s">
        <v>10</v>
      </c>
      <c r="C12" s="27"/>
      <c r="D12" s="27"/>
      <c r="E12" s="27"/>
      <c r="F12" s="27"/>
      <c r="G12" s="1"/>
    </row>
    <row r="13" spans="1:7" ht="15" customHeight="1" x14ac:dyDescent="0.25">
      <c r="A13" s="1"/>
      <c r="B13" s="28" t="s">
        <v>10</v>
      </c>
      <c r="C13" s="28"/>
      <c r="D13" s="28"/>
      <c r="E13" s="9">
        <f>'Fane 4. Ikke-påvirkelige omk.'!C13*(1+'Fane 13. Nøgletal'!C15)^2+'Fane 4. Ikke-påvirkelige omk.'!C19+'Fane 4. Ikke-påvirkelige omk.'!C27</f>
        <v>4803683.4083088934</v>
      </c>
      <c r="F13" s="28" t="s">
        <v>3</v>
      </c>
      <c r="G13" s="1"/>
    </row>
    <row r="14" spans="1:7" ht="15" customHeight="1" x14ac:dyDescent="0.25">
      <c r="A14" s="1"/>
      <c r="B14" s="27" t="s">
        <v>39</v>
      </c>
      <c r="C14" s="27"/>
      <c r="D14" s="27"/>
      <c r="E14" s="27"/>
      <c r="F14" s="27"/>
      <c r="G14" s="1"/>
    </row>
    <row r="15" spans="1:7" ht="15" customHeight="1" x14ac:dyDescent="0.25">
      <c r="A15" s="1"/>
      <c r="B15" s="74" t="s">
        <v>39</v>
      </c>
      <c r="C15" s="37"/>
      <c r="D15" s="37"/>
      <c r="E15" s="9">
        <f>'Fane 10. Periodevise driftsomk.'!E22</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x14ac:dyDescent="0.25">
      <c r="A18" s="1"/>
      <c r="B18" s="27" t="s">
        <v>92</v>
      </c>
      <c r="C18" s="27" t="s">
        <v>92</v>
      </c>
      <c r="D18" s="27" t="s">
        <v>92</v>
      </c>
      <c r="E18" s="27"/>
      <c r="F18" s="27"/>
      <c r="G18" s="1"/>
    </row>
    <row r="19" spans="1:7" x14ac:dyDescent="0.25">
      <c r="A19" s="1"/>
      <c r="B19" s="74" t="s">
        <v>93</v>
      </c>
      <c r="C19" s="9"/>
      <c r="D19" s="28" t="s">
        <v>3</v>
      </c>
      <c r="E19" s="9">
        <f>'Fane 7. Skattesagen'!G14</f>
        <v>0</v>
      </c>
      <c r="F19" s="28" t="s">
        <v>3</v>
      </c>
      <c r="G19" s="1"/>
    </row>
    <row r="20" spans="1:7" x14ac:dyDescent="0.25">
      <c r="A20" s="1"/>
      <c r="B20" s="27" t="s">
        <v>81</v>
      </c>
      <c r="C20" s="27"/>
      <c r="D20" s="27"/>
      <c r="E20" s="10">
        <f>SUM(E11,E13,E15,E17,E19)</f>
        <v>23981413.935959101</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EC3JE1dFc1hnD7/GTQ+DJhDm1y7J+Ldk0y0dJ3rYuNWxvh09VaeKLgw1VCFMzxBDTtKeUh0n0od+NrYl9x2BGw==" saltValue="VD6ldMtzFNnl0RdItaynBQ=="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109</v>
      </c>
      <c r="C3" s="101"/>
      <c r="D3" s="101"/>
      <c r="E3" s="101"/>
      <c r="F3" s="101"/>
      <c r="G3" s="1"/>
    </row>
    <row r="4" spans="1:7" ht="15" customHeight="1" x14ac:dyDescent="0.25">
      <c r="A4" s="1"/>
      <c r="B4" s="101"/>
      <c r="C4" s="101"/>
      <c r="D4" s="101"/>
      <c r="E4" s="101"/>
      <c r="F4" s="101"/>
      <c r="G4" s="1"/>
    </row>
    <row r="5" spans="1:7" x14ac:dyDescent="0.25">
      <c r="A5" s="1"/>
      <c r="B5" s="102" t="s">
        <v>20</v>
      </c>
      <c r="C5" s="102"/>
      <c r="D5" s="102"/>
      <c r="E5" s="102"/>
      <c r="F5" s="102"/>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5" t="s">
        <v>108</v>
      </c>
      <c r="C8" s="65"/>
      <c r="D8" s="65"/>
      <c r="E8" s="7">
        <f>'Fane 2.3. Økonomisk ramme 2025'!E11</f>
        <v>19177730.527650207</v>
      </c>
      <c r="F8" s="65" t="s">
        <v>3</v>
      </c>
      <c r="G8" s="1"/>
    </row>
    <row r="9" spans="1:7" ht="15" customHeight="1" x14ac:dyDescent="0.25">
      <c r="A9" s="1"/>
      <c r="B9" s="63" t="s">
        <v>17</v>
      </c>
      <c r="C9" s="65"/>
      <c r="D9" s="65"/>
      <c r="E9" s="8">
        <f>SUM(E8:E8)*'Fane 13. Nøgletal'!C15</f>
        <v>682727.20678434742</v>
      </c>
      <c r="F9" s="65" t="s">
        <v>3</v>
      </c>
      <c r="G9" s="1"/>
    </row>
    <row r="10" spans="1:7" ht="15" customHeight="1" x14ac:dyDescent="0.25">
      <c r="A10" s="1"/>
      <c r="B10" s="63" t="s">
        <v>54</v>
      </c>
      <c r="C10" s="65"/>
      <c r="D10" s="65"/>
      <c r="E10" s="8">
        <f>-SUM(E8:E9)*'Fane 13. Nøgletal'!C20</f>
        <v>-337627.78148538747</v>
      </c>
      <c r="F10" s="65" t="s">
        <v>3</v>
      </c>
      <c r="G10" s="1"/>
    </row>
    <row r="11" spans="1:7" x14ac:dyDescent="0.25">
      <c r="A11" s="1"/>
      <c r="B11" s="37" t="s">
        <v>19</v>
      </c>
      <c r="C11" s="37"/>
      <c r="D11" s="37"/>
      <c r="E11" s="9">
        <f>SUM(E8:E10)</f>
        <v>19522829.95294917</v>
      </c>
      <c r="F11" s="28" t="s">
        <v>3</v>
      </c>
      <c r="G11" s="1"/>
    </row>
    <row r="12" spans="1:7" x14ac:dyDescent="0.25">
      <c r="A12" s="1"/>
      <c r="B12" s="27" t="s">
        <v>10</v>
      </c>
      <c r="C12" s="27"/>
      <c r="D12" s="27"/>
      <c r="E12" s="27"/>
      <c r="F12" s="27"/>
      <c r="G12" s="1"/>
    </row>
    <row r="13" spans="1:7" ht="15" customHeight="1" x14ac:dyDescent="0.25">
      <c r="A13" s="1"/>
      <c r="B13" s="28" t="s">
        <v>10</v>
      </c>
      <c r="C13" s="28"/>
      <c r="D13" s="28"/>
      <c r="E13" s="9">
        <f>'Fane 4. Ikke-påvirkelige omk.'!C13*(1+'Fane 13. Nøgletal'!C15)^3+'Fane 4. Ikke-påvirkelige omk.'!C20+'Fane 4. Ikke-påvirkelige omk.'!C28</f>
        <v>4193049.7384446906</v>
      </c>
      <c r="F13" s="28" t="s">
        <v>3</v>
      </c>
      <c r="G13" s="1"/>
    </row>
    <row r="14" spans="1:7" ht="15" customHeight="1" x14ac:dyDescent="0.25">
      <c r="A14" s="1"/>
      <c r="B14" s="27" t="s">
        <v>39</v>
      </c>
      <c r="C14" s="27"/>
      <c r="D14" s="27"/>
      <c r="E14" s="27"/>
      <c r="F14" s="27"/>
      <c r="G14" s="1"/>
    </row>
    <row r="15" spans="1:7" ht="15" customHeight="1" x14ac:dyDescent="0.25">
      <c r="A15" s="1"/>
      <c r="B15" s="74" t="s">
        <v>39</v>
      </c>
      <c r="C15" s="37"/>
      <c r="D15" s="37"/>
      <c r="E15" s="9">
        <f>'Fane 10. Periodevise driftsomk.'!E27</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ht="15" customHeight="1" x14ac:dyDescent="0.25">
      <c r="A18" s="1"/>
      <c r="B18" s="27" t="s">
        <v>92</v>
      </c>
      <c r="C18" s="27" t="s">
        <v>92</v>
      </c>
      <c r="D18" s="27" t="s">
        <v>92</v>
      </c>
      <c r="E18" s="27"/>
      <c r="F18" s="27"/>
      <c r="G18" s="1"/>
    </row>
    <row r="19" spans="1:7" ht="15" customHeight="1" x14ac:dyDescent="0.25">
      <c r="A19" s="1"/>
      <c r="B19" s="74" t="s">
        <v>93</v>
      </c>
      <c r="C19" s="9"/>
      <c r="D19" s="28" t="s">
        <v>3</v>
      </c>
      <c r="E19" s="9">
        <f>'Fane 7. Skattesagen'!G15</f>
        <v>0</v>
      </c>
      <c r="F19" s="28" t="s">
        <v>3</v>
      </c>
      <c r="G19" s="1"/>
    </row>
    <row r="20" spans="1:7" x14ac:dyDescent="0.25">
      <c r="A20" s="1"/>
      <c r="B20" s="27" t="s">
        <v>110</v>
      </c>
      <c r="C20" s="27"/>
      <c r="D20" s="27"/>
      <c r="E20" s="10">
        <f>SUM(E11,E13,E15,E17,E19)</f>
        <v>23715879.69139386</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EuWnQ6HnVHi6J06xegsp+K+DC1c7YtvUrpT2424cdnAjTD7y4BwwU5SL85uLDnYRDF6xRz3MDQBcACoZsKq3w==" saltValue="rfYXywKA8JcOseDzNgFs1g=="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88" zoomScaleNormal="100" zoomScalePageLayoutView="88" workbookViewId="0"/>
  </sheetViews>
  <sheetFormatPr defaultColWidth="9" defaultRowHeight="15" x14ac:dyDescent="0.25"/>
  <cols>
    <col min="1" max="1" width="7.85546875" style="2" customWidth="1"/>
    <col min="2" max="3" width="9" style="2"/>
    <col min="4" max="4" width="39.85546875" style="2" customWidth="1"/>
    <col min="5" max="5" width="10.140625" style="2"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111</v>
      </c>
      <c r="C3" s="115"/>
      <c r="D3" s="115"/>
      <c r="E3" s="115"/>
      <c r="F3" s="115"/>
      <c r="G3" s="1"/>
    </row>
    <row r="4" spans="1:7" ht="29.2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27" t="s">
        <v>112</v>
      </c>
      <c r="C8" s="27"/>
      <c r="D8" s="27"/>
      <c r="E8" s="27"/>
      <c r="F8" s="27"/>
      <c r="G8" s="1"/>
    </row>
    <row r="9" spans="1:7" x14ac:dyDescent="0.25">
      <c r="A9" s="1"/>
      <c r="B9" s="116" t="s">
        <v>22</v>
      </c>
      <c r="C9" s="116"/>
      <c r="D9" s="116"/>
      <c r="E9" s="7">
        <v>18575597.96188971</v>
      </c>
      <c r="F9" s="65" t="s">
        <v>3</v>
      </c>
      <c r="G9" s="1"/>
    </row>
    <row r="10" spans="1:7" x14ac:dyDescent="0.25">
      <c r="A10" s="1"/>
      <c r="B10" s="109" t="s">
        <v>137</v>
      </c>
      <c r="C10" s="110"/>
      <c r="D10" s="111"/>
      <c r="E10" s="7">
        <v>170306.57323112467</v>
      </c>
      <c r="F10" s="65" t="s">
        <v>3</v>
      </c>
      <c r="G10" s="1"/>
    </row>
    <row r="11" spans="1:7" x14ac:dyDescent="0.25">
      <c r="A11" s="1"/>
      <c r="B11" s="107" t="s">
        <v>61</v>
      </c>
      <c r="C11" s="107"/>
      <c r="D11" s="107"/>
      <c r="E11" s="7">
        <v>12710.807700000001</v>
      </c>
      <c r="F11" s="65" t="s">
        <v>3</v>
      </c>
      <c r="G11" s="1"/>
    </row>
    <row r="12" spans="1:7" x14ac:dyDescent="0.25">
      <c r="A12" s="1"/>
      <c r="B12" s="107" t="s">
        <v>62</v>
      </c>
      <c r="C12" s="107"/>
      <c r="D12" s="107"/>
      <c r="E12" s="8">
        <v>0</v>
      </c>
      <c r="F12" s="65" t="s">
        <v>3</v>
      </c>
      <c r="G12" s="1"/>
    </row>
    <row r="13" spans="1:7" x14ac:dyDescent="0.25">
      <c r="A13" s="1"/>
      <c r="B13" s="107" t="s">
        <v>64</v>
      </c>
      <c r="C13" s="107"/>
      <c r="D13" s="107"/>
      <c r="E13" s="8">
        <v>0</v>
      </c>
      <c r="F13" s="65" t="s">
        <v>3</v>
      </c>
      <c r="G13" s="1"/>
    </row>
    <row r="14" spans="1:7" x14ac:dyDescent="0.25">
      <c r="A14" s="1"/>
      <c r="B14" s="107" t="s">
        <v>17</v>
      </c>
      <c r="C14" s="107"/>
      <c r="D14" s="107"/>
      <c r="E14" s="8">
        <f>E9*'Fane 13. Nøgletal'!C13+SUM(E11:E13)*'Fane 13. Nøgletal'!C14</f>
        <v>245239.83876235416</v>
      </c>
      <c r="F14" s="65" t="s">
        <v>3</v>
      </c>
      <c r="G14" s="1"/>
    </row>
    <row r="15" spans="1:7" x14ac:dyDescent="0.25">
      <c r="A15" s="1"/>
      <c r="B15" s="107" t="s">
        <v>54</v>
      </c>
      <c r="C15" s="107"/>
      <c r="D15" s="107"/>
      <c r="E15" s="8">
        <f>-SUM(E9,E11:E14)*'Fane 13. Nøgletal'!C20</f>
        <v>-320170.32634198514</v>
      </c>
      <c r="F15" s="65" t="s">
        <v>3</v>
      </c>
      <c r="G15" s="1"/>
    </row>
    <row r="16" spans="1:7" x14ac:dyDescent="0.25">
      <c r="A16" s="1"/>
      <c r="B16" s="108" t="s">
        <v>19</v>
      </c>
      <c r="C16" s="108"/>
      <c r="D16" s="108"/>
      <c r="E16" s="41">
        <f>SUM(E9,E11:E15)</f>
        <v>18513378.282010078</v>
      </c>
      <c r="F16" s="42" t="s">
        <v>3</v>
      </c>
      <c r="G16" s="1"/>
    </row>
    <row r="17" spans="1:7" x14ac:dyDescent="0.25">
      <c r="A17" s="1"/>
      <c r="B17" s="27" t="s">
        <v>10</v>
      </c>
      <c r="C17" s="22"/>
      <c r="D17" s="22"/>
      <c r="E17" s="22"/>
      <c r="F17" s="82"/>
      <c r="G17" s="1"/>
    </row>
    <row r="18" spans="1:7" ht="14.25" customHeight="1" x14ac:dyDescent="0.25">
      <c r="A18" s="1"/>
      <c r="B18" s="104" t="s">
        <v>10</v>
      </c>
      <c r="C18" s="105"/>
      <c r="D18" s="106"/>
      <c r="E18" s="9">
        <v>5705322.4824914103</v>
      </c>
      <c r="F18" s="9" t="s">
        <v>3</v>
      </c>
      <c r="G18" s="1"/>
    </row>
    <row r="19" spans="1:7" ht="14.25" customHeight="1" x14ac:dyDescent="0.25">
      <c r="A19" s="1"/>
      <c r="B19" s="27" t="s">
        <v>39</v>
      </c>
      <c r="C19" s="27"/>
      <c r="D19" s="27"/>
      <c r="E19" s="22"/>
      <c r="F19" s="82"/>
      <c r="G19" s="1"/>
    </row>
    <row r="20" spans="1:7" x14ac:dyDescent="0.25">
      <c r="A20" s="1"/>
      <c r="B20" s="74" t="s">
        <v>39</v>
      </c>
      <c r="C20" s="29"/>
      <c r="D20" s="30"/>
      <c r="E20" s="9">
        <v>0</v>
      </c>
      <c r="F20" s="28" t="s">
        <v>3</v>
      </c>
      <c r="G20" s="1"/>
    </row>
    <row r="21" spans="1:7" x14ac:dyDescent="0.25">
      <c r="A21" s="1"/>
      <c r="B21" s="27" t="s">
        <v>38</v>
      </c>
      <c r="C21" s="27"/>
      <c r="D21" s="27"/>
      <c r="E21" s="22"/>
      <c r="F21" s="82"/>
      <c r="G21" s="1"/>
    </row>
    <row r="22" spans="1:7" ht="15.4" customHeight="1" x14ac:dyDescent="0.25">
      <c r="A22" s="1"/>
      <c r="B22" s="109" t="s">
        <v>34</v>
      </c>
      <c r="C22" s="110"/>
      <c r="D22" s="111"/>
      <c r="E22" s="61">
        <v>125360.5550804852</v>
      </c>
      <c r="F22" s="31" t="s">
        <v>3</v>
      </c>
      <c r="G22" s="1"/>
    </row>
    <row r="23" spans="1:7" ht="15.75" customHeight="1" x14ac:dyDescent="0.25">
      <c r="A23" s="1"/>
      <c r="B23" s="109" t="s">
        <v>35</v>
      </c>
      <c r="C23" s="110"/>
      <c r="D23" s="111"/>
      <c r="E23" s="33">
        <v>0</v>
      </c>
      <c r="F23" s="31" t="s">
        <v>3</v>
      </c>
      <c r="G23" s="1"/>
    </row>
    <row r="24" spans="1:7" x14ac:dyDescent="0.25">
      <c r="A24" s="1"/>
      <c r="B24" s="112" t="s">
        <v>40</v>
      </c>
      <c r="C24" s="113"/>
      <c r="D24" s="114"/>
      <c r="E24" s="148">
        <f>SUM(E22:E23)</f>
        <v>125360.5550804852</v>
      </c>
      <c r="F24" s="9" t="s">
        <v>3</v>
      </c>
      <c r="G24" s="1"/>
    </row>
    <row r="25" spans="1:7" x14ac:dyDescent="0.25">
      <c r="A25" s="1"/>
      <c r="B25" s="27" t="s">
        <v>73</v>
      </c>
      <c r="C25" s="27"/>
      <c r="D25" s="27"/>
      <c r="E25" s="22"/>
      <c r="F25" s="82"/>
      <c r="G25" s="1"/>
    </row>
    <row r="26" spans="1:7" x14ac:dyDescent="0.25">
      <c r="A26" s="1"/>
      <c r="B26" s="104" t="s">
        <v>28</v>
      </c>
      <c r="C26" s="105"/>
      <c r="D26" s="106"/>
      <c r="E26" s="9">
        <v>476899.9067069267</v>
      </c>
      <c r="F26" s="28" t="s">
        <v>3</v>
      </c>
      <c r="G26" s="1"/>
    </row>
    <row r="27" spans="1:7" ht="14.25" customHeight="1" x14ac:dyDescent="0.25">
      <c r="A27" s="1"/>
      <c r="B27" s="104" t="s">
        <v>72</v>
      </c>
      <c r="C27" s="105"/>
      <c r="D27" s="106"/>
      <c r="E27" s="9">
        <v>0</v>
      </c>
      <c r="F27" s="28" t="s">
        <v>3</v>
      </c>
      <c r="G27" s="1"/>
    </row>
    <row r="28" spans="1:7" x14ac:dyDescent="0.25">
      <c r="A28" s="1"/>
      <c r="B28" s="27" t="s">
        <v>77</v>
      </c>
      <c r="C28" s="27"/>
      <c r="D28" s="27"/>
      <c r="E28" s="22"/>
      <c r="F28" s="82"/>
      <c r="G28" s="1"/>
    </row>
    <row r="29" spans="1:7" ht="15.75" customHeight="1" x14ac:dyDescent="0.25">
      <c r="A29" s="1"/>
      <c r="B29" s="104" t="s">
        <v>77</v>
      </c>
      <c r="C29" s="105"/>
      <c r="D29" s="106"/>
      <c r="E29" s="9">
        <v>-35951</v>
      </c>
      <c r="F29" s="28" t="s">
        <v>3</v>
      </c>
      <c r="G29" s="1"/>
    </row>
    <row r="30" spans="1:7" ht="15.75" customHeight="1" x14ac:dyDescent="0.25">
      <c r="A30" s="1"/>
      <c r="B30" s="27" t="s">
        <v>135</v>
      </c>
      <c r="C30" s="27"/>
      <c r="D30" s="27"/>
      <c r="E30" s="22"/>
      <c r="F30" s="82"/>
      <c r="G30" s="1"/>
    </row>
    <row r="31" spans="1:7" ht="15.75" customHeight="1" x14ac:dyDescent="0.25">
      <c r="A31" s="1"/>
      <c r="B31" s="104" t="s">
        <v>136</v>
      </c>
      <c r="C31" s="105"/>
      <c r="D31" s="106"/>
      <c r="E31" s="9">
        <f>'Fane 7. Skattesagen'!G11</f>
        <v>0</v>
      </c>
      <c r="F31" s="28" t="s">
        <v>3</v>
      </c>
      <c r="G31" s="1"/>
    </row>
    <row r="32" spans="1:7" x14ac:dyDescent="0.25">
      <c r="A32" s="1"/>
      <c r="B32" s="27" t="s">
        <v>23</v>
      </c>
      <c r="C32" s="43"/>
      <c r="D32" s="43"/>
      <c r="E32" s="44">
        <f>SUM(E16,E18,E20,E24,E26,E27,E29,E31)</f>
        <v>24785010.2262889</v>
      </c>
      <c r="F32" s="45" t="s">
        <v>3</v>
      </c>
      <c r="G32" s="1"/>
    </row>
    <row r="33" spans="1:7" ht="28.5" customHeight="1" x14ac:dyDescent="0.25">
      <c r="A33" s="1"/>
      <c r="B33" s="103" t="s">
        <v>113</v>
      </c>
      <c r="C33" s="103"/>
      <c r="D33" s="103"/>
      <c r="E33" s="103"/>
      <c r="F33" s="103"/>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kgPLRa+MbVvcf2A1OaKA1lR2CWcK0dTk7zi6pB4y4MYBFPetkaZtSLtE8RRajBzwpuZoJiE+NxyAAXv8PxqkoA==" saltValue="9giwfs31pbVfU5w9BgrtKA=="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18">
    <mergeCell ref="B13:D13"/>
    <mergeCell ref="B3:F4"/>
    <mergeCell ref="B9:D9"/>
    <mergeCell ref="B11:D11"/>
    <mergeCell ref="B12:D12"/>
    <mergeCell ref="B10:D10"/>
    <mergeCell ref="B33:F33"/>
    <mergeCell ref="B29:D29"/>
    <mergeCell ref="B14:D14"/>
    <mergeCell ref="B15:D15"/>
    <mergeCell ref="B16:D16"/>
    <mergeCell ref="B18:D18"/>
    <mergeCell ref="B27:D27"/>
    <mergeCell ref="B22:D22"/>
    <mergeCell ref="B23:D23"/>
    <mergeCell ref="B24:D24"/>
    <mergeCell ref="B26:D26"/>
    <mergeCell ref="B31:D31"/>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E49"/>
  <sheetViews>
    <sheetView showGridLines="0" view="pageLayout" zoomScale="90" zoomScaleNormal="100" zoomScalePageLayoutView="9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50</v>
      </c>
      <c r="C3" s="101"/>
      <c r="D3" s="101"/>
      <c r="E3" s="1"/>
    </row>
    <row r="4" spans="1:5" ht="15" customHeight="1"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7" t="s">
        <v>114</v>
      </c>
      <c r="C8" s="118"/>
      <c r="D8" s="119"/>
      <c r="E8" s="1"/>
    </row>
    <row r="9" spans="1:5" ht="15" customHeight="1" x14ac:dyDescent="0.25">
      <c r="A9" s="1"/>
      <c r="B9" s="17" t="s">
        <v>26</v>
      </c>
      <c r="C9" s="28" t="s">
        <v>146</v>
      </c>
      <c r="D9" s="28"/>
      <c r="E9" s="1"/>
    </row>
    <row r="10" spans="1:5" x14ac:dyDescent="0.25">
      <c r="A10" s="1"/>
      <c r="B10" s="23" t="s">
        <v>166</v>
      </c>
      <c r="C10" s="8">
        <v>18432</v>
      </c>
      <c r="D10" s="12" t="s">
        <v>3</v>
      </c>
      <c r="E10" s="1"/>
    </row>
    <row r="11" spans="1:5" x14ac:dyDescent="0.25">
      <c r="A11" s="1"/>
      <c r="B11" s="23" t="s">
        <v>167</v>
      </c>
      <c r="C11" s="8">
        <v>3490827</v>
      </c>
      <c r="D11" s="12" t="s">
        <v>3</v>
      </c>
      <c r="E11" s="1"/>
    </row>
    <row r="12" spans="1:5" x14ac:dyDescent="0.25">
      <c r="A12" s="1"/>
      <c r="B12" s="81" t="s">
        <v>115</v>
      </c>
      <c r="C12" s="10">
        <f>SUM(C10:C11)</f>
        <v>3509259</v>
      </c>
      <c r="D12" s="11" t="s">
        <v>3</v>
      </c>
      <c r="E12" s="1"/>
    </row>
    <row r="13" spans="1:5" x14ac:dyDescent="0.25">
      <c r="A13" s="1"/>
      <c r="B13" s="81" t="s">
        <v>116</v>
      </c>
      <c r="C13" s="10">
        <f>C12*(1+'Fane 13. Nøgletal'!C15)^2</f>
        <v>3763565.7352862405</v>
      </c>
      <c r="D13" s="11" t="s">
        <v>3</v>
      </c>
      <c r="E13" s="1"/>
    </row>
    <row r="14" spans="1:5" x14ac:dyDescent="0.25">
      <c r="A14" s="1"/>
      <c r="B14" s="14"/>
      <c r="C14" s="13"/>
      <c r="D14" s="13"/>
      <c r="E14" s="1"/>
    </row>
    <row r="15" spans="1:5" x14ac:dyDescent="0.25">
      <c r="A15" s="1"/>
      <c r="B15" s="14"/>
      <c r="C15" s="13"/>
      <c r="D15" s="13"/>
      <c r="E15" s="1"/>
    </row>
    <row r="16" spans="1:5" x14ac:dyDescent="0.25">
      <c r="A16" s="1"/>
      <c r="B16" s="117" t="s">
        <v>59</v>
      </c>
      <c r="C16" s="118"/>
      <c r="D16" s="119"/>
      <c r="E16" s="1"/>
    </row>
    <row r="17" spans="1:5" x14ac:dyDescent="0.25">
      <c r="A17" s="1"/>
      <c r="B17" s="23" t="s">
        <v>51</v>
      </c>
      <c r="C17" s="8">
        <v>767004</v>
      </c>
      <c r="D17" s="12" t="s">
        <v>3</v>
      </c>
      <c r="E17" s="1"/>
    </row>
    <row r="18" spans="1:5" x14ac:dyDescent="0.25">
      <c r="A18" s="1"/>
      <c r="B18" s="23" t="s">
        <v>66</v>
      </c>
      <c r="C18" s="8">
        <v>767192</v>
      </c>
      <c r="D18" s="12" t="s">
        <v>3</v>
      </c>
      <c r="E18" s="1"/>
    </row>
    <row r="19" spans="1:5" x14ac:dyDescent="0.25">
      <c r="A19" s="1"/>
      <c r="B19" s="23" t="s">
        <v>82</v>
      </c>
      <c r="C19" s="8">
        <v>767382</v>
      </c>
      <c r="D19" s="12" t="s">
        <v>3</v>
      </c>
      <c r="E19" s="1"/>
    </row>
    <row r="20" spans="1:5" x14ac:dyDescent="0.25">
      <c r="A20" s="1"/>
      <c r="B20" s="25" t="s">
        <v>117</v>
      </c>
      <c r="C20" s="8">
        <v>13056</v>
      </c>
      <c r="D20" s="12" t="s">
        <v>3</v>
      </c>
      <c r="E20" s="1"/>
    </row>
    <row r="21" spans="1:5" x14ac:dyDescent="0.25">
      <c r="A21" s="1"/>
      <c r="B21" s="117"/>
      <c r="C21" s="118"/>
      <c r="D21" s="119"/>
      <c r="E21" s="1"/>
    </row>
    <row r="22" spans="1:5" x14ac:dyDescent="0.25">
      <c r="A22" s="1"/>
      <c r="B22" s="1"/>
      <c r="C22" s="1"/>
      <c r="D22" s="1"/>
      <c r="E22" s="1"/>
    </row>
    <row r="23" spans="1:5" x14ac:dyDescent="0.25">
      <c r="A23" s="1"/>
      <c r="B23" s="1"/>
      <c r="C23" s="1"/>
      <c r="D23" s="1"/>
      <c r="E23" s="1"/>
    </row>
    <row r="24" spans="1:5" x14ac:dyDescent="0.25">
      <c r="A24" s="1"/>
      <c r="B24" s="117" t="s">
        <v>49</v>
      </c>
      <c r="C24" s="118"/>
      <c r="D24" s="119"/>
      <c r="E24" s="1"/>
    </row>
    <row r="25" spans="1:5" x14ac:dyDescent="0.25">
      <c r="A25" s="1"/>
      <c r="B25" s="23" t="s">
        <v>51</v>
      </c>
      <c r="C25" s="8">
        <v>0</v>
      </c>
      <c r="D25" s="12" t="s">
        <v>3</v>
      </c>
      <c r="E25" s="1"/>
    </row>
    <row r="26" spans="1:5" x14ac:dyDescent="0.25">
      <c r="A26" s="1"/>
      <c r="B26" s="23" t="s">
        <v>66</v>
      </c>
      <c r="C26" s="8">
        <v>0</v>
      </c>
      <c r="D26" s="12" t="s">
        <v>3</v>
      </c>
      <c r="E26" s="1"/>
    </row>
    <row r="27" spans="1:5" x14ac:dyDescent="0.25">
      <c r="A27" s="1"/>
      <c r="B27" s="23" t="s">
        <v>82</v>
      </c>
      <c r="C27" s="8">
        <v>0</v>
      </c>
      <c r="D27" s="12" t="s">
        <v>3</v>
      </c>
      <c r="E27" s="1"/>
    </row>
    <row r="28" spans="1:5" x14ac:dyDescent="0.25">
      <c r="A28" s="1"/>
      <c r="B28" s="25" t="s">
        <v>117</v>
      </c>
      <c r="C28" s="8">
        <v>0</v>
      </c>
      <c r="D28" s="35" t="s">
        <v>3</v>
      </c>
      <c r="E28" s="1"/>
    </row>
    <row r="29" spans="1:5" x14ac:dyDescent="0.25">
      <c r="A29" s="1"/>
      <c r="B29" s="117"/>
      <c r="C29" s="118"/>
      <c r="D29" s="119"/>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JxUrecRau+3pIjF4INvG4OoZX4ZLfMMsD+vKJa3gsA1O6Ui9t1lx888sK+JuNG5VxqiilEJSBz36wx9og7MwA==" saltValue="SpiL6tyJ30fLebYBehZigw=="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29:D29"/>
    <mergeCell ref="B3:D4"/>
    <mergeCell ref="B8:D8"/>
    <mergeCell ref="B16:D16"/>
    <mergeCell ref="B24:D24"/>
    <mergeCell ref="B21:D21"/>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2"/>
  <sheetViews>
    <sheetView showGridLines="0" view="pageLayout" zoomScale="106" zoomScaleNormal="100" zoomScalePageLayoutView="106"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188</v>
      </c>
      <c r="C3" s="115"/>
      <c r="D3" s="115"/>
      <c r="E3" s="115"/>
      <c r="F3" s="115"/>
      <c r="G3" s="1"/>
    </row>
    <row r="4" spans="1:7" ht="15" customHeight="1" x14ac:dyDescent="0.25">
      <c r="A4" s="1"/>
      <c r="B4" s="115"/>
      <c r="C4" s="115"/>
      <c r="D4" s="115"/>
      <c r="E4" s="115"/>
      <c r="F4" s="115"/>
      <c r="G4" s="1"/>
    </row>
    <row r="5" spans="1:7" ht="15" customHeight="1" x14ac:dyDescent="0.25">
      <c r="A5" s="1"/>
      <c r="B5" s="64"/>
      <c r="C5" s="64"/>
      <c r="D5" s="64"/>
      <c r="E5" s="64"/>
      <c r="F5" s="64"/>
      <c r="G5" s="1"/>
    </row>
    <row r="6" spans="1:7" ht="15" customHeight="1" x14ac:dyDescent="0.25">
      <c r="A6" s="1"/>
      <c r="B6" s="64"/>
      <c r="C6" s="64"/>
      <c r="D6" s="64"/>
      <c r="E6" s="64"/>
      <c r="F6" s="64"/>
      <c r="G6" s="1"/>
    </row>
    <row r="7" spans="1:7" x14ac:dyDescent="0.25">
      <c r="A7" s="1"/>
      <c r="B7" s="1"/>
      <c r="C7" s="1"/>
      <c r="D7" s="1"/>
      <c r="E7" s="1"/>
      <c r="F7" s="1"/>
      <c r="G7" s="1"/>
    </row>
    <row r="8" spans="1:7" x14ac:dyDescent="0.25">
      <c r="A8" s="1"/>
      <c r="B8" s="117" t="s">
        <v>95</v>
      </c>
      <c r="C8" s="118"/>
      <c r="D8" s="118"/>
      <c r="E8" s="118"/>
      <c r="F8" s="119"/>
      <c r="G8" s="1"/>
    </row>
    <row r="9" spans="1:7" x14ac:dyDescent="0.25">
      <c r="A9" s="1"/>
      <c r="B9" s="123" t="s">
        <v>118</v>
      </c>
      <c r="C9" s="124"/>
      <c r="D9" s="125"/>
      <c r="E9" s="8">
        <v>1422096.2215442061</v>
      </c>
      <c r="F9" s="12" t="s">
        <v>3</v>
      </c>
      <c r="G9" s="1"/>
    </row>
    <row r="10" spans="1:7" x14ac:dyDescent="0.25">
      <c r="A10" s="1"/>
      <c r="B10" s="126" t="s">
        <v>162</v>
      </c>
      <c r="C10" s="127"/>
      <c r="D10" s="128"/>
      <c r="E10" s="8">
        <v>1422096.2215442061</v>
      </c>
      <c r="F10" s="58" t="s">
        <v>3</v>
      </c>
      <c r="G10" s="1"/>
    </row>
    <row r="11" spans="1:7" x14ac:dyDescent="0.25">
      <c r="A11" s="1"/>
      <c r="B11" s="81"/>
      <c r="C11" s="22"/>
      <c r="D11" s="22"/>
      <c r="E11" s="22"/>
      <c r="F11" s="82"/>
      <c r="G11" s="1"/>
    </row>
    <row r="12" spans="1:7" ht="67.150000000000006" customHeight="1" x14ac:dyDescent="0.25">
      <c r="A12" s="1"/>
      <c r="B12" s="120" t="s">
        <v>163</v>
      </c>
      <c r="C12" s="121"/>
      <c r="D12" s="121"/>
      <c r="E12" s="121"/>
      <c r="F12" s="122"/>
      <c r="G12" s="1"/>
    </row>
    <row r="13" spans="1:7" ht="16.149999999999999" customHeight="1" x14ac:dyDescent="0.25">
      <c r="A13" s="1"/>
      <c r="B13" s="1"/>
      <c r="C13" s="1"/>
      <c r="D13" s="1"/>
      <c r="E13" s="1"/>
      <c r="F13" s="1"/>
      <c r="G13" s="1"/>
    </row>
    <row r="14" spans="1:7" ht="28.5" customHeight="1" x14ac:dyDescent="0.25">
      <c r="A14" s="1"/>
      <c r="B14" s="117" t="s">
        <v>96</v>
      </c>
      <c r="C14" s="118"/>
      <c r="D14" s="118"/>
      <c r="E14" s="118"/>
      <c r="F14" s="119"/>
      <c r="G14" s="1"/>
    </row>
    <row r="15" spans="1:7" x14ac:dyDescent="0.25">
      <c r="A15" s="1"/>
      <c r="B15" s="123" t="s">
        <v>170</v>
      </c>
      <c r="C15" s="124"/>
      <c r="D15" s="125"/>
      <c r="E15" s="8">
        <v>0</v>
      </c>
      <c r="F15" s="12" t="s">
        <v>3</v>
      </c>
      <c r="G15" s="1"/>
    </row>
    <row r="16" spans="1:7" x14ac:dyDescent="0.25">
      <c r="A16" s="1"/>
      <c r="B16" s="123" t="s">
        <v>171</v>
      </c>
      <c r="C16" s="124"/>
      <c r="D16" s="125"/>
      <c r="E16" s="8">
        <v>0</v>
      </c>
      <c r="F16" s="12" t="s">
        <v>3</v>
      </c>
      <c r="G16" s="1"/>
    </row>
    <row r="17" spans="1:7" x14ac:dyDescent="0.25">
      <c r="A17" s="1"/>
      <c r="B17" s="123" t="s">
        <v>172</v>
      </c>
      <c r="C17" s="124"/>
      <c r="D17" s="125"/>
      <c r="E17" s="8">
        <v>0</v>
      </c>
      <c r="F17" s="12" t="s">
        <v>3</v>
      </c>
      <c r="G17" s="1"/>
    </row>
    <row r="18" spans="1:7" x14ac:dyDescent="0.25">
      <c r="A18" s="1"/>
      <c r="B18" s="123" t="s">
        <v>173</v>
      </c>
      <c r="C18" s="124"/>
      <c r="D18" s="125"/>
      <c r="E18" s="8">
        <v>0</v>
      </c>
      <c r="F18" s="12" t="s">
        <v>3</v>
      </c>
      <c r="G18" s="1"/>
    </row>
    <row r="19" spans="1:7" x14ac:dyDescent="0.25">
      <c r="A19" s="1"/>
      <c r="B19" s="81"/>
      <c r="C19" s="22"/>
      <c r="D19" s="22"/>
      <c r="E19" s="22"/>
      <c r="F19" s="82"/>
      <c r="G19" s="1"/>
    </row>
    <row r="20" spans="1:7" ht="31.5" customHeight="1" x14ac:dyDescent="0.25">
      <c r="A20" s="1"/>
      <c r="B20" s="120" t="s">
        <v>97</v>
      </c>
      <c r="C20" s="121"/>
      <c r="D20" s="121"/>
      <c r="E20" s="121"/>
      <c r="F20" s="122"/>
      <c r="G20" s="1"/>
    </row>
    <row r="21" spans="1:7" ht="17.25" customHeight="1" x14ac:dyDescent="0.25">
      <c r="A21" s="1"/>
      <c r="B21" s="1"/>
      <c r="C21" s="1"/>
      <c r="D21" s="1"/>
      <c r="E21" s="1"/>
      <c r="F21" s="1"/>
      <c r="G21" s="1"/>
    </row>
    <row r="22" spans="1:7" ht="28.5" customHeight="1" x14ac:dyDescent="0.25">
      <c r="A22" s="1"/>
      <c r="B22" s="71" t="s">
        <v>119</v>
      </c>
      <c r="C22" s="72"/>
      <c r="D22" s="72"/>
      <c r="E22" s="72"/>
      <c r="F22" s="73"/>
      <c r="G22" s="1"/>
    </row>
    <row r="23" spans="1:7" x14ac:dyDescent="0.25">
      <c r="A23" s="1"/>
      <c r="B23" s="75" t="s">
        <v>120</v>
      </c>
      <c r="C23" s="76"/>
      <c r="D23" s="77"/>
      <c r="E23" s="8">
        <v>24908563.190069996</v>
      </c>
      <c r="F23" s="12" t="s">
        <v>3</v>
      </c>
      <c r="G23" s="1"/>
    </row>
    <row r="24" spans="1:7" x14ac:dyDescent="0.25">
      <c r="A24" s="1"/>
      <c r="B24" s="75" t="s">
        <v>121</v>
      </c>
      <c r="C24" s="76"/>
      <c r="D24" s="77"/>
      <c r="E24" s="8">
        <v>26296403</v>
      </c>
      <c r="F24" s="12" t="s">
        <v>3</v>
      </c>
      <c r="G24" s="1"/>
    </row>
    <row r="25" spans="1:7" x14ac:dyDescent="0.25">
      <c r="A25" s="1"/>
      <c r="B25" s="75" t="s">
        <v>27</v>
      </c>
      <c r="C25" s="76"/>
      <c r="D25" s="77"/>
      <c r="E25" s="8">
        <v>0</v>
      </c>
      <c r="F25" s="12" t="s">
        <v>3</v>
      </c>
      <c r="G25" s="1"/>
    </row>
    <row r="26" spans="1:7" x14ac:dyDescent="0.25">
      <c r="A26" s="1"/>
      <c r="B26" s="68" t="s">
        <v>168</v>
      </c>
      <c r="C26" s="69"/>
      <c r="D26" s="70"/>
      <c r="E26" s="59">
        <f>E23-(E24-E25)</f>
        <v>-1387839.8099300042</v>
      </c>
      <c r="F26" s="15" t="s">
        <v>3</v>
      </c>
      <c r="G26" s="1"/>
    </row>
    <row r="27" spans="1:7" x14ac:dyDescent="0.25">
      <c r="A27" s="1"/>
      <c r="B27" s="81"/>
      <c r="C27" s="22"/>
      <c r="D27" s="22"/>
      <c r="E27" s="22"/>
      <c r="F27" s="82"/>
      <c r="G27" s="1"/>
    </row>
    <row r="28" spans="1:7" x14ac:dyDescent="0.25">
      <c r="A28" s="1"/>
      <c r="B28" s="1"/>
      <c r="C28" s="1"/>
      <c r="D28" s="1"/>
      <c r="E28" s="1"/>
      <c r="F28" s="1"/>
      <c r="G28" s="1"/>
    </row>
    <row r="29" spans="1:7" ht="28.5" customHeight="1" x14ac:dyDescent="0.25">
      <c r="A29" s="1"/>
      <c r="B29" s="117" t="s">
        <v>164</v>
      </c>
      <c r="C29" s="118"/>
      <c r="D29" s="118"/>
      <c r="E29" s="118"/>
      <c r="F29" s="119"/>
      <c r="G29" s="1"/>
    </row>
    <row r="30" spans="1:7" x14ac:dyDescent="0.25">
      <c r="A30" s="1"/>
      <c r="B30" s="132" t="s">
        <v>73</v>
      </c>
      <c r="C30" s="133"/>
      <c r="D30" s="134"/>
      <c r="E30" s="8">
        <f>IF(AND(E10&gt;0,SUM(E10,E26)&gt;0),0,IF(AND(E10&gt;0,SUM(E10,E26)&lt;0),SUM(E10,E26),IF(AND(E10&lt;0,E26&lt;0),SUM(E10,E26),IF(AND(E10&lt;0,E26&gt;0),E10,0))))</f>
        <v>0</v>
      </c>
      <c r="F30" s="12" t="s">
        <v>3</v>
      </c>
      <c r="G30" s="1"/>
    </row>
    <row r="31" spans="1:7" x14ac:dyDescent="0.25">
      <c r="A31" s="1"/>
      <c r="B31" s="132" t="s">
        <v>55</v>
      </c>
      <c r="C31" s="133"/>
      <c r="D31" s="134"/>
      <c r="E31" s="8">
        <v>4</v>
      </c>
      <c r="F31" s="12" t="s">
        <v>18</v>
      </c>
      <c r="G31" s="1"/>
    </row>
    <row r="32" spans="1:7" x14ac:dyDescent="0.25">
      <c r="A32" s="1"/>
      <c r="B32" s="135" t="s">
        <v>98</v>
      </c>
      <c r="C32" s="135"/>
      <c r="D32" s="135"/>
      <c r="E32" s="9">
        <f>E30/E31</f>
        <v>0</v>
      </c>
      <c r="F32" s="15" t="s">
        <v>3</v>
      </c>
      <c r="G32" s="1"/>
    </row>
    <row r="33" spans="1:7" x14ac:dyDescent="0.25">
      <c r="A33" s="1"/>
      <c r="B33" s="129"/>
      <c r="C33" s="130"/>
      <c r="D33" s="130"/>
      <c r="E33" s="130"/>
      <c r="F33" s="13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57"/>
      <c r="C39" s="57"/>
      <c r="D39" s="57"/>
      <c r="E39" s="57"/>
      <c r="F39" s="57"/>
    </row>
    <row r="40" spans="1:7" x14ac:dyDescent="0.25">
      <c r="A40" s="57"/>
      <c r="B40" s="57"/>
      <c r="C40" s="57"/>
      <c r="D40" s="57"/>
      <c r="E40" s="57"/>
      <c r="F40" s="57"/>
      <c r="G40" s="57"/>
    </row>
    <row r="41" spans="1:7" x14ac:dyDescent="0.25">
      <c r="A41" s="57"/>
      <c r="B41" s="57"/>
      <c r="C41" s="57"/>
      <c r="D41" s="57"/>
      <c r="E41" s="57"/>
      <c r="F41" s="57"/>
      <c r="G41" s="57"/>
    </row>
    <row r="42" spans="1:7" x14ac:dyDescent="0.25">
      <c r="A42" s="57"/>
      <c r="B42" s="57"/>
      <c r="C42" s="57"/>
      <c r="D42" s="57"/>
      <c r="E42" s="57"/>
      <c r="F42" s="57"/>
      <c r="G42" s="57"/>
    </row>
  </sheetData>
  <sheetProtection algorithmName="SHA-512" hashValue="nPriU6ibjphhsZ9d/u/nKl5VLL94GcJfHpUtYMBpoBAjoytxb9qJ/t9eeUXQ3Ci3tL6Z8GAlhzesZm16zwjD+Q==" saltValue="59QqotuLFFQ7xo6bXhit5Q==" spinCount="100000" sheet="1" objects="1" scenarios="1"/>
  <customSheetViews>
    <customSheetView guid="{8BCA264E-FE70-4497-B667-7DCB6C5E8A89}" showPageBreaks="1" showGridLines="0" view="pageLayout" topLeftCell="A23">
      <selection activeCell="E49" sqref="E49"/>
      <pageMargins left="0.79166666666666663" right="0.7" top="0.75" bottom="0.75" header="0.3" footer="0.3"/>
      <pageSetup paperSize="9" orientation="portrait" r:id="rId1"/>
    </customSheetView>
  </customSheetViews>
  <mergeCells count="16">
    <mergeCell ref="B33:F33"/>
    <mergeCell ref="B29:F29"/>
    <mergeCell ref="B31:D31"/>
    <mergeCell ref="B32:D32"/>
    <mergeCell ref="B30:D30"/>
    <mergeCell ref="B20:F20"/>
    <mergeCell ref="B3:F4"/>
    <mergeCell ref="B16:D16"/>
    <mergeCell ref="B8:F8"/>
    <mergeCell ref="B10:D10"/>
    <mergeCell ref="B9:D9"/>
    <mergeCell ref="B12:F12"/>
    <mergeCell ref="B14:F14"/>
    <mergeCell ref="B15:D15"/>
    <mergeCell ref="B17:D17"/>
    <mergeCell ref="B18:D1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122</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6" t="s">
        <v>123</v>
      </c>
      <c r="C9" s="136"/>
      <c r="D9" s="136"/>
      <c r="E9" s="136"/>
      <c r="F9" s="136"/>
      <c r="G9" s="1"/>
    </row>
    <row r="10" spans="1:7" x14ac:dyDescent="0.25">
      <c r="A10" s="1"/>
      <c r="B10" s="103" t="s">
        <v>52</v>
      </c>
      <c r="C10" s="103"/>
      <c r="D10" s="103"/>
      <c r="E10" s="7">
        <v>0</v>
      </c>
      <c r="F10" s="65" t="s">
        <v>3</v>
      </c>
      <c r="G10" s="1"/>
    </row>
    <row r="11" spans="1:7" x14ac:dyDescent="0.25">
      <c r="A11" s="1"/>
      <c r="B11" s="137" t="s">
        <v>124</v>
      </c>
      <c r="C11" s="137"/>
      <c r="D11" s="137"/>
      <c r="E11" s="7">
        <v>0</v>
      </c>
      <c r="F11" s="65" t="s">
        <v>3</v>
      </c>
      <c r="G11" s="1"/>
    </row>
    <row r="12" spans="1:7" x14ac:dyDescent="0.25">
      <c r="A12" s="1"/>
      <c r="B12" s="135" t="s">
        <v>53</v>
      </c>
      <c r="C12" s="135"/>
      <c r="D12" s="135"/>
      <c r="E12" s="9">
        <f>E11-E10</f>
        <v>0</v>
      </c>
      <c r="F12" s="28" t="s">
        <v>3</v>
      </c>
      <c r="G12" s="1"/>
    </row>
    <row r="13" spans="1:7" x14ac:dyDescent="0.25">
      <c r="A13" s="1"/>
      <c r="B13" s="136" t="s">
        <v>47</v>
      </c>
      <c r="C13" s="136"/>
      <c r="D13" s="136"/>
      <c r="E13" s="136"/>
      <c r="F13" s="136"/>
      <c r="G13" s="1"/>
    </row>
    <row r="14" spans="1:7" x14ac:dyDescent="0.25">
      <c r="A14" s="1"/>
      <c r="B14" s="137" t="s">
        <v>125</v>
      </c>
      <c r="C14" s="137"/>
      <c r="D14" s="137"/>
      <c r="E14" s="8">
        <v>766638</v>
      </c>
      <c r="F14" s="65" t="s">
        <v>3</v>
      </c>
      <c r="G14" s="1"/>
    </row>
    <row r="15" spans="1:7" x14ac:dyDescent="0.25">
      <c r="A15" s="1"/>
      <c r="B15" s="137" t="s">
        <v>126</v>
      </c>
      <c r="C15" s="137"/>
      <c r="D15" s="137"/>
      <c r="E15" s="8">
        <v>693518</v>
      </c>
      <c r="F15" s="65" t="s">
        <v>3</v>
      </c>
      <c r="G15" s="1"/>
    </row>
    <row r="16" spans="1:7" x14ac:dyDescent="0.25">
      <c r="A16" s="1"/>
      <c r="B16" s="135" t="s">
        <v>53</v>
      </c>
      <c r="C16" s="135"/>
      <c r="D16" s="135"/>
      <c r="E16" s="9">
        <f>E15-E14</f>
        <v>-73120</v>
      </c>
      <c r="F16" s="28" t="s">
        <v>3</v>
      </c>
      <c r="G16" s="1"/>
    </row>
    <row r="17" spans="1:7" x14ac:dyDescent="0.25">
      <c r="A17" s="1"/>
      <c r="B17" s="27" t="s">
        <v>127</v>
      </c>
      <c r="C17" s="27"/>
      <c r="D17" s="27"/>
      <c r="E17" s="10">
        <f>E12+E16</f>
        <v>-73120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xRfoYUvCzwC8sT29FJzhTtQUMpe715bt97/CANPJlp5e0ULAGjVhnsN08Wo23ML73qhiDHMtfZi0pRiyCUnYA==" saltValue="b6cEVkX82BGSW+zhmmSgJw=="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Korrektion af ØR2021</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2022-08-17T09:10:37Z</dcterms:modified>
</cp:coreProperties>
</file>