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Furesø AS (S027)\ØR2025\"/>
    </mc:Choice>
  </mc:AlternateContent>
  <xr:revisionPtr revIDLastSave="0" documentId="13_ncr:1_{CBD0A1E2-3AE8-4D99-9B97-D4685687C60B}" xr6:coauthVersionLast="36" xr6:coauthVersionMax="36" xr10:uidLastSave="{00000000-0000-0000-0000-000000000000}"/>
  <bookViews>
    <workbookView xWindow="3120" yWindow="996" windowWidth="12756"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19" i="19"/>
  <c r="C20"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<sst xmlns="http://schemas.openxmlformats.org/spreadsheetml/2006/main" count="549" uniqueCount="239">
  <si>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</si>
  <si>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</si>
  <si>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</si>
  <si>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</si>
  <si>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</si>
  <si>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</si>
  <si>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</si>
  <si>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</si>
  <si>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</si>
  <si>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</si>
  <si>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</si>
  <si>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</si>
  <si>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</si>
  <si>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</si>
  <si>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</si>
  <si>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</si>
  <si>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</si>
  <si>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</si>
  <si>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</si>
  <si>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</si>
  <si>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</si>
  <si>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</si>
  <si>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</si>
  <si>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</si>
  <si>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</si>
  <si>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</si>
  <si>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</si>
  <si>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</si>
  <si>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</si>
  <si>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</si>
  <si>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</si>
  <si>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</si>
  <si>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</si>
  <si>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</si>
  <si>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</si>
  <si>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</si>
  <si>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</si>
  <si>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</si>
  <si>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</si>
  <si>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</si>
  <si>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</si>
  <si>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</si>
  <si>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</si>
  <si>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</si>
  <si>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</si>
  <si>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</si>
  <si>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</si>
  <si>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</si>
  <si>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</si>
  <si>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</si>
  <si>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</si>
  <si>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</si>
  <si>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</si>
  <si>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</si>
  <si>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</si>
  <si>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</si>
  <si>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</si>
  <si>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</si>
  <si>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</si>
  <si>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</si>
  <si>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</si>
  <si>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</si>
  <si>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</si>
  <si>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</si>
  <si>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</si>
  <si>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</si>
  <si>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</si>
  <si>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</si>
  <si>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</si>
  <si>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</si>
  <si>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</si>
  <si>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</si>
  <si>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</si>
  <si>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</si>
  <si>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</si>
  <si>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</si>
  <si>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</si>
  <si>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</si>
  <si>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</si>
  <si>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</si>
  <si>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</si>
  <si>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</si>
  <si>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</si>
  <si>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</si>
  <si>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</si>
  <si>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</si>
  <si>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</si>
  <si>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</si>
  <si>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</si>
  <si>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</si>
  <si>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</si>
  <si>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</si>
  <si>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</si>
  <si>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</si>
  <si>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</si>
  <si>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</si>
  <si>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</si>
  <si>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</si>
  <si>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</si>
  <si>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</si>
  <si>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</si>
  <si>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</si>
  <si>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</si>
  <si>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</si>
  <si>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</si>
  <si>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</si>
  <si>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</si>
  <si>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</si>
  <si>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</si>
  <si>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</si>
  <si>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</si>
  <si>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</si>
  <si>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</si>
  <si>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</si>
  <si>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</si>
  <si>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</si>
  <si>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</si>
  <si>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</si>
  <si>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</si>
  <si>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</si>
  <si>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</si>
  <si>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</si>
  <si>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</si>
  <si>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</si>
  <si>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</si>
  <si>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</si>
  <si>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</si>
  <si>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</si>
  <si>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</si>
  <si>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</si>
  <si>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</si>
  <si>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</si>
  <si>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</si>
  <si>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</si>
  <si>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</si>
  <si>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</si>
  <si>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</si>
  <si>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</si>
  <si>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</si>
  <si>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</si>
  <si>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</si>
  <si>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</si>
  <si>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</si>
  <si>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</si>
  <si>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</si>
  <si>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</si>
  <si>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</si>
  <si>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</si>
  <si>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</si>
  <si>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</si>
  <si>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</si>
  <si>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</si>
  <si>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</si>
  <si>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</si>
  <si>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</si>
  <si>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</si>
  <si>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</si>
  <si>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</si>
  <si>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</si>
  <si>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</si>
  <si>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</si>
  <si>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</si>
  <si>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</si>
  <si>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</si>
  <si>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</si>
  <si>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</si>
  <si>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</si>
  <si>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</si>
  <si>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</si>
  <si>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</si>
  <si>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</si>
  <si>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</si>
  <si>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</si>
  <si>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</si>
  <si>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</si>
  <si>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</si>
  <si>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</si>
  <si>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</si>
  <si>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</si>
  <si>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</si>
  <si>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</si>
  <si>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</si>
  <si>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</si>
  <si>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</si>
  <si>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</si>
  <si>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</si>
  <si>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</si>
  <si>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</si>
  <si>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</si>
  <si>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</si>
  <si>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</si>
  <si>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</si>
  <si>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</si>
  <si>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</si>
  <si>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</si>
  <si>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</si>
  <si>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</si>
  <si>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</si>
  <si>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</si>
  <si>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</si>
  <si>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</si>
  <si>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</si>
  <si>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</si>
  <si>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</si>
  <si>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</si>
  <si>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</si>
  <si>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</si>
  <si>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</si>
  <si>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</si>
  <si>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</si>
  <si>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</si>
  <si>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</si>
  <si>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</si>
  <si>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</si>
  <si>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</si>
  <si>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</si>
  <si>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</si>
  <si>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</si>
  <si>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</si>
  <si>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</si>
  <si>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</si>
  <si>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</si>
  <si>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</si>
  <si>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</si>
  <si>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</si>
  <si>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</si>
  <si>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</si>
  <si>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</si>
  <si>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</si>
  <si>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</si>
  <si>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</si>
  <si>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</si>
  <si>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</si>
  <si>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</si>
  <si>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</si>
  <si>
    <t>SFU Udvidelse af forsyningsområdet på Flyvestation Værløse</t>
  </si>
  <si>
    <t>SFU Udvidelse af forsyningsområdet ved enkeltstik ansøgninger</t>
  </si>
  <si>
    <t>Ingen engangstillæg</t>
  </si>
  <si>
    <t xml:space="preserve">Justering efter § 15: Ny påvirkelig omkostning - slamdisponering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</si>
</sst>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8" width="0" style="2" hidden="1" customWidth="1"/>
    <col min="9"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87" t="s">
        <v>4</v>
      </c>
      <c r="D6" s="87"/>
      <c r="E6" s="87"/>
      <c r="F6" s="87"/>
      <c r="G6" s="3"/>
    </row>
    <row r="7" spans="1:7" ht="15" customHeight="1" x14ac:dyDescent="0.3">
      <c r="A7" s="1"/>
      <c r="B7" s="3"/>
      <c r="C7" s="87"/>
      <c r="D7" s="87"/>
      <c r="E7" s="87"/>
      <c r="F7" s="87"/>
      <c r="G7" s="3"/>
    </row>
    <row r="8" spans="1:7" ht="15.6" x14ac:dyDescent="0.3">
      <c r="A8" s="1"/>
      <c r="B8" s="4"/>
      <c r="C8" s="95" t="s">
        <v>234</v>
      </c>
      <c r="D8" s="95"/>
      <c r="E8" s="95"/>
      <c r="F8" s="95"/>
      <c r="G8" s="4"/>
    </row>
    <row r="9" spans="1:7" x14ac:dyDescent="0.3">
      <c r="A9" s="1"/>
      <c r="B9" s="5"/>
      <c r="C9" s="5"/>
      <c r="D9" s="5"/>
      <c r="E9" s="5"/>
      <c r="F9" s="5"/>
      <c r="G9" s="5"/>
    </row>
    <row r="10" spans="1:7" x14ac:dyDescent="0.3">
      <c r="A10" s="1"/>
      <c r="B10" s="5"/>
      <c r="C10" s="5"/>
      <c r="D10" s="5"/>
      <c r="E10" s="5"/>
      <c r="F10" s="5"/>
      <c r="G10" s="5"/>
    </row>
    <row r="11" spans="1:7" x14ac:dyDescent="0.3">
      <c r="A11" s="1"/>
      <c r="B11" s="5"/>
      <c r="C11" s="94" t="s">
        <v>5</v>
      </c>
      <c r="D11" s="94"/>
      <c r="E11" s="94"/>
      <c r="F11" s="94"/>
      <c r="G11" s="5"/>
    </row>
    <row r="12" spans="1:7" x14ac:dyDescent="0.3">
      <c r="A12" s="1"/>
      <c r="B12" s="1"/>
      <c r="C12" s="1"/>
      <c r="D12" s="1"/>
      <c r="E12" s="1"/>
      <c r="F12" s="1"/>
      <c r="G12" s="5"/>
    </row>
    <row r="13" spans="1:7" x14ac:dyDescent="0.3">
      <c r="A13" s="1"/>
      <c r="B13" s="6" t="s">
        <v>6</v>
      </c>
      <c r="C13" s="99" t="s">
        <v>128</v>
      </c>
      <c r="D13" s="100"/>
      <c r="E13" s="100"/>
      <c r="F13" s="101"/>
      <c r="G13" s="5"/>
    </row>
    <row r="14" spans="1:7" x14ac:dyDescent="0.3">
      <c r="A14" s="1"/>
      <c r="B14" s="6" t="s">
        <v>16</v>
      </c>
      <c r="C14" s="84" t="s">
        <v>187</v>
      </c>
      <c r="D14" s="85"/>
      <c r="E14" s="85"/>
      <c r="F14" s="86"/>
      <c r="G14" s="5"/>
    </row>
    <row r="15" spans="1:7" x14ac:dyDescent="0.3">
      <c r="A15" s="1"/>
      <c r="B15" s="6" t="s">
        <v>30</v>
      </c>
      <c r="C15" s="84" t="s">
        <v>150</v>
      </c>
      <c r="D15" s="85"/>
      <c r="E15" s="85"/>
      <c r="F15" s="86"/>
      <c r="G15" s="5"/>
    </row>
    <row r="16" spans="1:7" x14ac:dyDescent="0.3">
      <c r="A16" s="1"/>
      <c r="B16" s="6" t="s">
        <v>31</v>
      </c>
      <c r="C16" s="84" t="s">
        <v>152</v>
      </c>
      <c r="D16" s="85"/>
      <c r="E16" s="85"/>
      <c r="F16" s="86"/>
      <c r="G16" s="5"/>
    </row>
    <row r="17" spans="1:8" x14ac:dyDescent="0.3">
      <c r="A17" s="1"/>
      <c r="B17" s="6" t="s">
        <v>62</v>
      </c>
      <c r="C17" s="84" t="s">
        <v>153</v>
      </c>
      <c r="D17" s="85"/>
      <c r="E17" s="85"/>
      <c r="F17" s="86"/>
      <c r="G17" s="5"/>
    </row>
    <row r="18" spans="1:8" x14ac:dyDescent="0.3">
      <c r="A18" s="1"/>
      <c r="B18" s="6" t="s">
        <v>54</v>
      </c>
      <c r="C18" s="96" t="s">
        <v>46</v>
      </c>
      <c r="D18" s="97"/>
      <c r="E18" s="97"/>
      <c r="F18" s="98"/>
      <c r="G18" s="5"/>
    </row>
    <row r="19" spans="1:8" x14ac:dyDescent="0.3">
      <c r="A19" s="1"/>
      <c r="B19" s="6" t="s">
        <v>55</v>
      </c>
      <c r="C19" s="96" t="s">
        <v>47</v>
      </c>
      <c r="D19" s="97"/>
      <c r="E19" s="97"/>
      <c r="F19" s="98"/>
      <c r="G19" s="5"/>
    </row>
    <row r="20" spans="1:8" x14ac:dyDescent="0.3">
      <c r="A20" s="1"/>
      <c r="B20" s="6" t="s">
        <v>7</v>
      </c>
      <c r="C20" s="96" t="s">
        <v>10</v>
      </c>
      <c r="D20" s="97"/>
      <c r="E20" s="97"/>
      <c r="F20" s="98"/>
      <c r="G20" s="5"/>
    </row>
    <row r="21" spans="1:8" x14ac:dyDescent="0.3">
      <c r="A21" s="1"/>
      <c r="B21" s="6" t="s">
        <v>56</v>
      </c>
      <c r="C21" s="88" t="s">
        <v>12</v>
      </c>
      <c r="D21" s="89"/>
      <c r="E21" s="89"/>
      <c r="F21" s="90"/>
      <c r="G21" s="5"/>
    </row>
    <row r="22" spans="1:8" x14ac:dyDescent="0.3">
      <c r="A22" s="1"/>
      <c r="B22" s="6" t="s">
        <v>40</v>
      </c>
      <c r="C22" s="91" t="s">
        <v>154</v>
      </c>
      <c r="D22" s="92"/>
      <c r="E22" s="92"/>
      <c r="F22" s="93"/>
      <c r="G22" s="5"/>
    </row>
    <row r="23" spans="1:8" x14ac:dyDescent="0.3">
      <c r="A23" s="1"/>
      <c r="B23" s="6" t="s">
        <v>8</v>
      </c>
      <c r="C23" s="91" t="s">
        <v>113</v>
      </c>
      <c r="D23" s="92"/>
      <c r="E23" s="92"/>
      <c r="F23" s="93"/>
      <c r="G23" s="5"/>
    </row>
    <row r="24" spans="1:8" x14ac:dyDescent="0.3">
      <c r="A24" s="1"/>
      <c r="B24" s="6" t="s">
        <v>9</v>
      </c>
      <c r="C24" s="91" t="s">
        <v>155</v>
      </c>
      <c r="D24" s="92"/>
      <c r="E24" s="92"/>
      <c r="F24" s="93"/>
      <c r="G24" s="5"/>
    </row>
    <row r="25" spans="1:8" x14ac:dyDescent="0.3">
      <c r="A25" s="1"/>
      <c r="B25" s="6" t="s">
        <v>98</v>
      </c>
      <c r="C25" s="91" t="s">
        <v>92</v>
      </c>
      <c r="D25" s="92"/>
      <c r="E25" s="92"/>
      <c r="F25" s="93"/>
      <c r="G25" s="1"/>
    </row>
    <row r="26" spans="1:8" x14ac:dyDescent="0.3">
      <c r="A26" s="1"/>
      <c r="B26" s="6" t="s">
        <v>99</v>
      </c>
      <c r="C26" s="91" t="s">
        <v>41</v>
      </c>
      <c r="D26" s="92"/>
      <c r="E26" s="92"/>
      <c r="F26" s="93"/>
      <c r="G26" s="1"/>
    </row>
    <row r="27" spans="1:8" x14ac:dyDescent="0.3">
      <c r="A27" s="1"/>
      <c r="B27" s="6" t="s">
        <v>100</v>
      </c>
      <c r="C27" s="91" t="s">
        <v>42</v>
      </c>
      <c r="D27" s="92"/>
      <c r="E27" s="92"/>
      <c r="F27" s="93"/>
      <c r="G27" s="1"/>
    </row>
    <row r="28" spans="1:8" x14ac:dyDescent="0.3">
      <c r="A28" s="1"/>
      <c r="B28" s="6" t="s">
        <v>15</v>
      </c>
      <c r="C28" s="91" t="s">
        <v>43</v>
      </c>
      <c r="D28" s="92"/>
      <c r="E28" s="92"/>
      <c r="F28" s="93"/>
      <c r="G28" s="1"/>
      <c r="H28" s="2" t="s">
        <v>151</v>
      </c>
    </row>
    <row r="29" spans="1:8" x14ac:dyDescent="0.3">
      <c r="A29" s="1"/>
      <c r="B29" s="6" t="s">
        <v>33</v>
      </c>
      <c r="C29" s="91" t="s">
        <v>69</v>
      </c>
      <c r="D29" s="92"/>
      <c r="E29" s="92"/>
      <c r="F29" s="93"/>
      <c r="G29" s="1"/>
    </row>
    <row r="30" spans="1:8" x14ac:dyDescent="0.3">
      <c r="A30" s="1"/>
      <c r="B30" s="6" t="s">
        <v>34</v>
      </c>
      <c r="C30" s="91" t="s">
        <v>32</v>
      </c>
      <c r="D30" s="92"/>
      <c r="E30" s="92"/>
      <c r="F30" s="93"/>
      <c r="G30" s="1"/>
    </row>
    <row r="31" spans="1:8" x14ac:dyDescent="0.3">
      <c r="A31" s="1"/>
      <c r="B31" s="6" t="s">
        <v>101</v>
      </c>
      <c r="C31" s="102" t="s">
        <v>53</v>
      </c>
      <c r="D31" s="103"/>
      <c r="E31" s="103"/>
      <c r="F31" s="104"/>
      <c r="G31" s="1"/>
    </row>
    <row r="32" spans="1:8"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hidden="1" x14ac:dyDescent="0.3">
      <c r="A50" s="44"/>
      <c r="B50" s="44"/>
      <c r="C50" s="44"/>
      <c r="D50" s="44"/>
      <c r="E50" s="44"/>
      <c r="F50" s="44"/>
      <c r="G50" s="44"/>
    </row>
  </sheetData>
  <sheetProtection algorithmName="SHA-512" hashValue="V3VyC2zeIHjIkWjjInyavUL2oJc6i1M7032HuCN4U9nd38tbpvRRXOmf4adnTg9NK5nmr1D0AqYEp4vAVXrxKg==" saltValue="wu9LcOE6HLYQgM3Wl0UF4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59</v>
      </c>
      <c r="C3" s="105"/>
      <c r="D3" s="105"/>
      <c r="E3" s="1"/>
    </row>
    <row r="4" spans="1:5" ht="15" customHeight="1" x14ac:dyDescent="0.3">
      <c r="A4" s="1"/>
      <c r="B4" s="105"/>
      <c r="C4" s="105"/>
      <c r="D4" s="105"/>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12" t="s">
        <v>166</v>
      </c>
      <c r="C8" s="113"/>
      <c r="D8" s="114"/>
      <c r="E8" s="1"/>
    </row>
    <row r="9" spans="1:5" ht="15" customHeight="1" x14ac:dyDescent="0.3">
      <c r="A9" s="1"/>
      <c r="B9" s="27" t="s">
        <v>28</v>
      </c>
      <c r="C9" s="68" t="s">
        <v>167</v>
      </c>
      <c r="D9" s="11"/>
      <c r="E9" s="1"/>
    </row>
    <row r="10" spans="1:5" ht="15" customHeight="1" x14ac:dyDescent="0.3">
      <c r="A10" s="1"/>
      <c r="B10" s="73" t="s">
        <v>229</v>
      </c>
      <c r="C10" s="74">
        <v>335148</v>
      </c>
      <c r="D10" s="14" t="s">
        <v>3</v>
      </c>
      <c r="E10" s="1"/>
    </row>
    <row r="11" spans="1:5" ht="15" customHeight="1" x14ac:dyDescent="0.3">
      <c r="A11" s="1"/>
      <c r="B11" s="73" t="s">
        <v>230</v>
      </c>
      <c r="C11" s="74">
        <v>76784</v>
      </c>
      <c r="D11" s="14" t="s">
        <v>3</v>
      </c>
      <c r="E11" s="1"/>
    </row>
    <row r="12" spans="1:5" ht="26.4" x14ac:dyDescent="0.3">
      <c r="A12" s="1"/>
      <c r="B12" s="73" t="s">
        <v>231</v>
      </c>
      <c r="C12" s="74">
        <v>7814043</v>
      </c>
      <c r="D12" s="14" t="s">
        <v>3</v>
      </c>
      <c r="E12" s="1"/>
    </row>
    <row r="13" spans="1:5" x14ac:dyDescent="0.3">
      <c r="A13" s="1"/>
      <c r="B13" s="73" t="s">
        <v>232</v>
      </c>
      <c r="C13" s="74">
        <v>377702</v>
      </c>
      <c r="D13" s="14" t="s">
        <v>3</v>
      </c>
      <c r="E13" s="1"/>
    </row>
    <row r="14" spans="1:5" x14ac:dyDescent="0.3">
      <c r="A14" s="1"/>
      <c r="B14" s="73" t="s">
        <v>233</v>
      </c>
      <c r="C14" s="74">
        <v>13162</v>
      </c>
      <c r="D14" s="14" t="s">
        <v>3</v>
      </c>
      <c r="E14" s="1"/>
    </row>
    <row r="15" spans="1:5" x14ac:dyDescent="0.3">
      <c r="A15" s="1"/>
      <c r="B15" s="73"/>
      <c r="C15" s="74"/>
      <c r="D15" s="14" t="s">
        <v>3</v>
      </c>
      <c r="E15" s="1"/>
    </row>
    <row r="16" spans="1:5" x14ac:dyDescent="0.3">
      <c r="A16" s="1"/>
      <c r="B16" s="73"/>
      <c r="C16" s="74"/>
      <c r="D16" s="14" t="s">
        <v>3</v>
      </c>
      <c r="E16" s="1"/>
    </row>
    <row r="17" spans="1:5" x14ac:dyDescent="0.3">
      <c r="A17" s="1"/>
      <c r="B17" s="73"/>
      <c r="C17" s="74"/>
      <c r="D17" s="14" t="s">
        <v>3</v>
      </c>
      <c r="E17" s="1"/>
    </row>
    <row r="18" spans="1:5" x14ac:dyDescent="0.3">
      <c r="A18" s="1"/>
      <c r="B18" s="73"/>
      <c r="C18" s="74"/>
      <c r="D18" s="14" t="s">
        <v>3</v>
      </c>
      <c r="E18" s="1"/>
    </row>
    <row r="19" spans="1:5" x14ac:dyDescent="0.3">
      <c r="A19" s="1"/>
      <c r="B19" s="33" t="s">
        <v>168</v>
      </c>
      <c r="C19" s="12">
        <f>SUM(C10:C18)</f>
        <v>8616839</v>
      </c>
      <c r="D19" s="13" t="s">
        <v>3</v>
      </c>
      <c r="E19" s="1"/>
    </row>
    <row r="20" spans="1:5" x14ac:dyDescent="0.3">
      <c r="A20" s="1"/>
      <c r="B20" s="33" t="s">
        <v>169</v>
      </c>
      <c r="C20" s="12">
        <f>C19*(1+'Fane 15. Nøgletal'!C10)^2</f>
        <v>9797308.8044239096</v>
      </c>
      <c r="D20" s="13" t="s">
        <v>3</v>
      </c>
      <c r="E20" s="1"/>
    </row>
    <row r="21" spans="1:5" x14ac:dyDescent="0.3">
      <c r="A21" s="1"/>
      <c r="B21" s="16"/>
      <c r="C21" s="15"/>
      <c r="D21" s="15"/>
      <c r="E21" s="1"/>
    </row>
    <row r="22" spans="1:5" x14ac:dyDescent="0.3">
      <c r="A22" s="1"/>
      <c r="B22" s="16"/>
      <c r="C22" s="15"/>
      <c r="D22" s="15"/>
      <c r="E22" s="1"/>
    </row>
    <row r="23" spans="1:5" x14ac:dyDescent="0.3">
      <c r="A23" s="1"/>
      <c r="B23" s="112" t="s">
        <v>61</v>
      </c>
      <c r="C23" s="113"/>
      <c r="D23" s="114"/>
      <c r="E23" s="1"/>
    </row>
    <row r="24" spans="1:5" x14ac:dyDescent="0.3">
      <c r="A24" s="1"/>
      <c r="B24" s="37" t="s">
        <v>73</v>
      </c>
      <c r="C24" s="9">
        <v>596009</v>
      </c>
      <c r="D24" s="14" t="s">
        <v>3</v>
      </c>
      <c r="E24" s="1"/>
    </row>
    <row r="25" spans="1:5" x14ac:dyDescent="0.3">
      <c r="A25" s="1"/>
      <c r="B25" s="37" t="s">
        <v>84</v>
      </c>
      <c r="C25" s="9">
        <v>596009</v>
      </c>
      <c r="D25" s="14" t="s">
        <v>3</v>
      </c>
      <c r="E25" s="1"/>
    </row>
    <row r="26" spans="1:5" x14ac:dyDescent="0.3">
      <c r="A26" s="1"/>
      <c r="B26" s="37" t="s">
        <v>149</v>
      </c>
      <c r="C26" s="9">
        <v>596009</v>
      </c>
      <c r="D26" s="14" t="s">
        <v>3</v>
      </c>
      <c r="E26" s="1"/>
    </row>
    <row r="27" spans="1:5" x14ac:dyDescent="0.3">
      <c r="A27" s="1"/>
      <c r="B27" s="34" t="s">
        <v>170</v>
      </c>
      <c r="C27" s="9">
        <v>596009</v>
      </c>
      <c r="D27" s="36" t="s">
        <v>3</v>
      </c>
      <c r="E27" s="1"/>
    </row>
    <row r="28" spans="1:5" x14ac:dyDescent="0.3">
      <c r="A28" s="1"/>
      <c r="B28" s="112"/>
      <c r="C28" s="113"/>
      <c r="D28" s="114"/>
      <c r="E28" s="1"/>
    </row>
    <row r="29" spans="1:5" x14ac:dyDescent="0.3">
      <c r="A29" s="1"/>
      <c r="B29" s="1"/>
      <c r="C29" s="1"/>
      <c r="D29" s="1"/>
      <c r="E29" s="1"/>
    </row>
    <row r="30" spans="1:5" x14ac:dyDescent="0.3">
      <c r="A30" s="1"/>
      <c r="B30" s="1"/>
      <c r="C30" s="1"/>
      <c r="D30" s="1"/>
      <c r="E30" s="1"/>
    </row>
    <row r="31" spans="1:5" x14ac:dyDescent="0.3">
      <c r="A31" s="1"/>
      <c r="B31" s="112" t="s">
        <v>48</v>
      </c>
      <c r="C31" s="113"/>
      <c r="D31" s="114"/>
      <c r="E31" s="1"/>
    </row>
    <row r="32" spans="1:5" x14ac:dyDescent="0.3">
      <c r="A32" s="1"/>
      <c r="B32" s="37" t="s">
        <v>73</v>
      </c>
      <c r="C32" s="9">
        <v>2056413</v>
      </c>
      <c r="D32" s="14" t="s">
        <v>3</v>
      </c>
      <c r="E32" s="1"/>
    </row>
    <row r="33" spans="1:5" x14ac:dyDescent="0.3">
      <c r="A33" s="1"/>
      <c r="B33" s="37" t="s">
        <v>84</v>
      </c>
      <c r="C33" s="9">
        <v>393014</v>
      </c>
      <c r="D33" s="14" t="s">
        <v>3</v>
      </c>
      <c r="E33" s="1"/>
    </row>
    <row r="34" spans="1:5" x14ac:dyDescent="0.3">
      <c r="A34" s="1"/>
      <c r="B34" s="37" t="s">
        <v>149</v>
      </c>
      <c r="C34" s="9">
        <v>0</v>
      </c>
      <c r="D34" s="14" t="s">
        <v>3</v>
      </c>
      <c r="E34" s="1"/>
    </row>
    <row r="35" spans="1:5" x14ac:dyDescent="0.3">
      <c r="A35" s="1"/>
      <c r="B35" s="34" t="s">
        <v>170</v>
      </c>
      <c r="C35" s="9">
        <v>0</v>
      </c>
      <c r="D35" s="36" t="s">
        <v>3</v>
      </c>
      <c r="E35" s="1"/>
    </row>
    <row r="36" spans="1:5" x14ac:dyDescent="0.3">
      <c r="A36" s="1"/>
      <c r="B36" s="112"/>
      <c r="C36" s="113"/>
      <c r="D36" s="114"/>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hidden="1" x14ac:dyDescent="0.3">
      <c r="A49" s="44"/>
      <c r="B49" s="44"/>
      <c r="C49" s="44"/>
      <c r="D49" s="44"/>
      <c r="E49" s="44"/>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row r="56" spans="1:5" x14ac:dyDescent="0.3"/>
  </sheetData>
  <sheetProtection algorithmName="SHA-512" hashValue="meiUghZkyE4MaRxu9m8QoMcmHWaoYWWX/HFv1HXc74/0geKuuUm7qqMBZRUQEH+N0HFk13hM0zhyjjO2YX7HZQ==" saltValue="29q/6kk4jBuCugGZtQTPEw==" spinCount="100000" sheet="1" objects="1" scenarios="1"/>
  <mergeCells count="6">
    <mergeCell ref="B36:D36"/>
    <mergeCell ref="B3:D4"/>
    <mergeCell ref="B8:D8"/>
    <mergeCell ref="B23:D23"/>
    <mergeCell ref="B31:D31"/>
    <mergeCell ref="B28:D2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10" t="s">
        <v>202</v>
      </c>
      <c r="C3" s="110"/>
      <c r="D3" s="110"/>
      <c r="E3" s="1"/>
    </row>
    <row r="4" spans="1:5" ht="15" customHeight="1" x14ac:dyDescent="0.3">
      <c r="A4" s="1"/>
      <c r="B4" s="110"/>
      <c r="C4" s="110"/>
      <c r="D4" s="110"/>
      <c r="E4" s="1"/>
    </row>
    <row r="5" spans="1:5" ht="15" customHeight="1" x14ac:dyDescent="0.3">
      <c r="A5" s="1"/>
      <c r="B5" s="110"/>
      <c r="C5" s="110"/>
      <c r="D5" s="110"/>
      <c r="E5" s="1"/>
    </row>
    <row r="6" spans="1:5" ht="15" customHeight="1" x14ac:dyDescent="0.3">
      <c r="A6" s="1"/>
      <c r="B6" s="76"/>
      <c r="C6" s="76"/>
      <c r="D6" s="76"/>
      <c r="E6" s="1"/>
    </row>
    <row r="7" spans="1:5" x14ac:dyDescent="0.3">
      <c r="A7" s="1"/>
      <c r="B7" s="1"/>
      <c r="C7" s="1"/>
      <c r="D7" s="1"/>
      <c r="E7" s="1"/>
    </row>
    <row r="8" spans="1:5" x14ac:dyDescent="0.3">
      <c r="A8" s="1"/>
      <c r="B8" s="112" t="s">
        <v>78</v>
      </c>
      <c r="C8" s="113"/>
      <c r="D8" s="114"/>
      <c r="E8" s="1"/>
    </row>
    <row r="9" spans="1:5" x14ac:dyDescent="0.3">
      <c r="A9" s="1"/>
      <c r="B9" s="66" t="s">
        <v>205</v>
      </c>
      <c r="C9" s="9">
        <v>-3087961.9807461202</v>
      </c>
      <c r="D9" s="14" t="s">
        <v>3</v>
      </c>
      <c r="E9" s="1"/>
    </row>
    <row r="10" spans="1:5" x14ac:dyDescent="0.3">
      <c r="A10" s="1"/>
      <c r="B10" s="33"/>
      <c r="C10" s="28"/>
      <c r="D10" s="19"/>
      <c r="E10" s="1"/>
    </row>
    <row r="11" spans="1:5" ht="53.25" customHeight="1" x14ac:dyDescent="0.3">
      <c r="A11" s="1"/>
      <c r="B11" s="123" t="s">
        <v>213</v>
      </c>
      <c r="C11" s="124"/>
      <c r="D11" s="125"/>
      <c r="E11" s="1"/>
    </row>
    <row r="12" spans="1:5" x14ac:dyDescent="0.3">
      <c r="A12" s="1"/>
      <c r="B12" s="1"/>
      <c r="C12" s="1"/>
      <c r="D12" s="1"/>
      <c r="E12" s="1"/>
    </row>
    <row r="13" spans="1:5" x14ac:dyDescent="0.3">
      <c r="A13" s="1"/>
      <c r="B13" s="112" t="s">
        <v>79</v>
      </c>
      <c r="C13" s="113"/>
      <c r="D13" s="114"/>
      <c r="E13" s="1"/>
    </row>
    <row r="14" spans="1:5" x14ac:dyDescent="0.3">
      <c r="A14" s="1"/>
      <c r="B14" s="66" t="s">
        <v>203</v>
      </c>
      <c r="C14" s="9">
        <v>-4460011.9903730601</v>
      </c>
      <c r="D14" s="14" t="s">
        <v>3</v>
      </c>
      <c r="E14" s="1"/>
    </row>
    <row r="15" spans="1:5" x14ac:dyDescent="0.3">
      <c r="A15" s="1"/>
      <c r="B15" s="66" t="s">
        <v>204</v>
      </c>
      <c r="C15" s="9">
        <v>-4460011.9903730601</v>
      </c>
      <c r="D15" s="14" t="s">
        <v>3</v>
      </c>
      <c r="E15" s="1"/>
    </row>
    <row r="16" spans="1:5" x14ac:dyDescent="0.3">
      <c r="A16" s="1"/>
      <c r="B16" s="33"/>
      <c r="C16" s="28"/>
      <c r="D16" s="19"/>
      <c r="E16" s="1"/>
    </row>
    <row r="17" spans="1:5" ht="29.25" customHeight="1" x14ac:dyDescent="0.3">
      <c r="A17" s="1"/>
      <c r="B17" s="123" t="s">
        <v>122</v>
      </c>
      <c r="C17" s="124"/>
      <c r="D17" s="125"/>
      <c r="E17" s="1"/>
    </row>
    <row r="18" spans="1:5" x14ac:dyDescent="0.3">
      <c r="A18" s="1"/>
      <c r="B18" s="1"/>
      <c r="C18" s="1"/>
      <c r="D18" s="1"/>
      <c r="E18" s="1"/>
    </row>
    <row r="19" spans="1:5" x14ac:dyDescent="0.3">
      <c r="A19" s="1"/>
      <c r="B19" s="77" t="s">
        <v>206</v>
      </c>
      <c r="C19" s="78"/>
      <c r="D19" s="79"/>
      <c r="E19" s="1"/>
    </row>
    <row r="20" spans="1:5" x14ac:dyDescent="0.3">
      <c r="A20" s="1"/>
      <c r="B20" s="66" t="s">
        <v>207</v>
      </c>
      <c r="C20" s="9">
        <v>59934990.977498189</v>
      </c>
      <c r="D20" s="14" t="s">
        <v>3</v>
      </c>
      <c r="E20" s="1"/>
    </row>
    <row r="21" spans="1:5" x14ac:dyDescent="0.3">
      <c r="A21" s="1"/>
      <c r="B21" s="66" t="s">
        <v>208</v>
      </c>
      <c r="C21" s="9">
        <v>58369924</v>
      </c>
      <c r="D21" s="14" t="s">
        <v>3</v>
      </c>
      <c r="E21" s="1"/>
    </row>
    <row r="22" spans="1:5" x14ac:dyDescent="0.3">
      <c r="A22" s="1"/>
      <c r="B22" s="66" t="s">
        <v>29</v>
      </c>
      <c r="C22" s="9">
        <v>0</v>
      </c>
      <c r="D22" s="14" t="s">
        <v>3</v>
      </c>
      <c r="E22" s="1"/>
    </row>
    <row r="23" spans="1:5" x14ac:dyDescent="0.3">
      <c r="A23" s="1"/>
      <c r="B23" s="83" t="s">
        <v>209</v>
      </c>
      <c r="C23" s="57">
        <f>C20-C21-C22</f>
        <v>1565066.9774981886</v>
      </c>
      <c r="D23" s="17" t="s">
        <v>3</v>
      </c>
      <c r="E23" s="1"/>
    </row>
    <row r="24" spans="1:5" x14ac:dyDescent="0.3">
      <c r="A24" s="1"/>
      <c r="B24" s="33"/>
      <c r="C24" s="28"/>
      <c r="D24" s="19"/>
      <c r="E24" s="1"/>
    </row>
    <row r="25" spans="1:5" x14ac:dyDescent="0.3">
      <c r="A25" s="1"/>
      <c r="B25" s="1"/>
      <c r="C25" s="1"/>
      <c r="D25" s="1"/>
      <c r="E25" s="1"/>
    </row>
    <row r="26" spans="1:5" x14ac:dyDescent="0.3">
      <c r="A26" s="1"/>
      <c r="B26" s="112" t="s">
        <v>210</v>
      </c>
      <c r="C26" s="113"/>
      <c r="D26" s="114"/>
      <c r="E26" s="1"/>
    </row>
    <row r="27" spans="1:5" x14ac:dyDescent="0.3">
      <c r="A27" s="1"/>
      <c r="B27" s="83" t="s">
        <v>211</v>
      </c>
      <c r="C27" s="57">
        <f>IF(AND(C15&lt;0,C23&gt;0,ABS(SUM(C14:C15))&lt;C23),ABS(C14),IF(AND(C15&lt;0,C23&gt;0,ABS(SUM(C14:C15))&gt;C23),SUM(C14,C23),C15))</f>
        <v>-2894945.0128748715</v>
      </c>
      <c r="D27" s="17" t="s">
        <v>3</v>
      </c>
      <c r="E27" s="1"/>
    </row>
    <row r="28" spans="1:5" x14ac:dyDescent="0.3">
      <c r="A28" s="1"/>
      <c r="B28" s="112"/>
      <c r="C28" s="113"/>
      <c r="D28" s="114"/>
      <c r="E28" s="1"/>
    </row>
    <row r="29" spans="1:5" x14ac:dyDescent="0.3">
      <c r="A29" s="1"/>
      <c r="B29" s="1"/>
      <c r="C29" s="1"/>
      <c r="D29" s="1"/>
      <c r="E29" s="1"/>
    </row>
    <row r="30" spans="1:5" x14ac:dyDescent="0.3">
      <c r="A30" s="1"/>
      <c r="B30" s="112" t="s">
        <v>212</v>
      </c>
      <c r="C30" s="113"/>
      <c r="D30" s="114"/>
      <c r="E30" s="1"/>
    </row>
    <row r="31" spans="1:5" x14ac:dyDescent="0.3">
      <c r="A31" s="1"/>
      <c r="B31" s="67" t="s">
        <v>70</v>
      </c>
      <c r="C31" s="58">
        <f>IF(AND(C9&gt;0,(C9+C23)&gt;0),0,IF(AND(C9&gt;0,(C9+C23)&lt;0),(C9+C23),IF(AND(C9&lt;0,C23&lt;0),C23,0)))</f>
        <v>0</v>
      </c>
      <c r="D31" s="14" t="s">
        <v>3</v>
      </c>
      <c r="E31" s="1"/>
    </row>
    <row r="32" spans="1:5" x14ac:dyDescent="0.3">
      <c r="A32" s="1"/>
      <c r="B32" s="67" t="s">
        <v>50</v>
      </c>
      <c r="C32" s="9">
        <v>2</v>
      </c>
      <c r="D32" s="14" t="s">
        <v>20</v>
      </c>
      <c r="E32" s="1"/>
    </row>
    <row r="33" spans="1:5" x14ac:dyDescent="0.3">
      <c r="A33" s="1"/>
      <c r="B33" s="68" t="s">
        <v>71</v>
      </c>
      <c r="C33" s="57">
        <f>C31/C32</f>
        <v>0</v>
      </c>
      <c r="D33" s="17" t="s">
        <v>3</v>
      </c>
      <c r="E33" s="1"/>
    </row>
    <row r="34" spans="1:5" x14ac:dyDescent="0.3">
      <c r="A34" s="1"/>
      <c r="B34" s="120"/>
      <c r="C34" s="121"/>
      <c r="D34" s="122"/>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hidden="1" x14ac:dyDescent="0.3">
      <c r="A46" s="44"/>
      <c r="B46" s="44"/>
      <c r="C46" s="44"/>
      <c r="D46" s="44"/>
      <c r="E46" s="44"/>
    </row>
    <row r="47" spans="1:5" hidden="1" x14ac:dyDescent="0.3">
      <c r="A47" s="44"/>
      <c r="B47" s="44"/>
      <c r="C47" s="44"/>
      <c r="D47" s="44"/>
      <c r="E47" s="44"/>
    </row>
    <row r="48" spans="1:5" hidden="1" x14ac:dyDescent="0.3">
      <c r="A48" s="44"/>
      <c r="B48" s="44"/>
      <c r="C48" s="44"/>
      <c r="D48" s="44"/>
      <c r="E48" s="44"/>
    </row>
    <row r="49" spans="1:5" hidden="1" x14ac:dyDescent="0.3">
      <c r="A49" s="44"/>
      <c r="B49" s="44"/>
      <c r="C49" s="44"/>
      <c r="D49" s="44"/>
      <c r="E49" s="44"/>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E53" s="44"/>
    </row>
  </sheetData>
  <sheetProtection algorithmName="SHA-512" hashValue="G/m0TJ4k8vHfeUPYnquvoawdMm6o1vrMX1TcWl5Hw5L97z01R1KfDYc9CwwyXhG+KOoGVPQSFUKsyk18gcw/uQ==" saltValue="jixtDrau3ckmrNBZivnF5Q=="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4.4" zeroHeight="1" x14ac:dyDescent="0.3"/>
  <cols>
    <col min="1" max="1" width="5.33203125" style="56" customWidth="1"/>
    <col min="2" max="2" width="57.109375" style="56" customWidth="1"/>
    <col min="3" max="3" width="12.5546875" style="56" customWidth="1"/>
    <col min="4" max="4" width="3.109375" style="56" customWidth="1"/>
    <col min="5" max="5" width="5.33203125" style="56" customWidth="1"/>
    <col min="6" max="16384" width="9.109375" style="56" hidden="1"/>
  </cols>
  <sheetData>
    <row r="1" spans="1:5" x14ac:dyDescent="0.3">
      <c r="A1" s="1"/>
      <c r="B1" s="1"/>
      <c r="C1" s="1"/>
      <c r="D1" s="1"/>
      <c r="E1" s="1"/>
    </row>
    <row r="2" spans="1:5" x14ac:dyDescent="0.3">
      <c r="A2" s="1"/>
      <c r="B2" s="1"/>
      <c r="C2" s="1"/>
      <c r="D2" s="1"/>
      <c r="E2" s="1"/>
    </row>
    <row r="3" spans="1:5" ht="15" customHeight="1" x14ac:dyDescent="0.3">
      <c r="A3" s="1"/>
      <c r="B3" s="110" t="s">
        <v>102</v>
      </c>
      <c r="C3" s="110"/>
      <c r="D3" s="110"/>
      <c r="E3" s="1"/>
    </row>
    <row r="4" spans="1:5" ht="15" customHeight="1" x14ac:dyDescent="0.3">
      <c r="A4" s="1"/>
      <c r="B4" s="110"/>
      <c r="C4" s="110"/>
      <c r="D4" s="110"/>
      <c r="E4" s="1"/>
    </row>
    <row r="5" spans="1:5" x14ac:dyDescent="0.3">
      <c r="A5" s="1"/>
      <c r="B5" s="110"/>
      <c r="C5" s="110"/>
      <c r="D5" s="110"/>
      <c r="E5" s="1"/>
    </row>
    <row r="6" spans="1:5" x14ac:dyDescent="0.3">
      <c r="A6" s="1"/>
      <c r="B6" s="1"/>
      <c r="C6" s="1"/>
      <c r="D6" s="1"/>
      <c r="E6" s="1"/>
    </row>
    <row r="7" spans="1:5" x14ac:dyDescent="0.3">
      <c r="A7" s="1"/>
      <c r="B7" s="1"/>
      <c r="C7" s="1"/>
      <c r="D7" s="1"/>
      <c r="E7" s="1"/>
    </row>
    <row r="8" spans="1:5" x14ac:dyDescent="0.3">
      <c r="A8" s="1"/>
      <c r="B8" s="112" t="s">
        <v>121</v>
      </c>
      <c r="C8" s="113"/>
      <c r="D8" s="114"/>
      <c r="E8" s="1"/>
    </row>
    <row r="9" spans="1:5" ht="15" customHeight="1" x14ac:dyDescent="0.3">
      <c r="A9" s="1"/>
      <c r="B9" s="126" t="s">
        <v>103</v>
      </c>
      <c r="C9" s="127"/>
      <c r="D9" s="128"/>
      <c r="E9" s="1"/>
    </row>
    <row r="10" spans="1:5" x14ac:dyDescent="0.3">
      <c r="A10" s="1"/>
      <c r="B10" s="69" t="s">
        <v>104</v>
      </c>
      <c r="C10" s="9"/>
      <c r="D10" s="9" t="s">
        <v>3</v>
      </c>
      <c r="E10" s="1"/>
    </row>
    <row r="11" spans="1:5" x14ac:dyDescent="0.3">
      <c r="A11" s="1"/>
      <c r="B11" s="69" t="s">
        <v>105</v>
      </c>
      <c r="C11" s="9"/>
      <c r="D11" s="9" t="s">
        <v>3</v>
      </c>
      <c r="E11" s="1"/>
    </row>
    <row r="12" spans="1:5" x14ac:dyDescent="0.3">
      <c r="A12" s="1"/>
      <c r="B12" s="69" t="s">
        <v>106</v>
      </c>
      <c r="C12" s="9"/>
      <c r="D12" s="9" t="s">
        <v>3</v>
      </c>
      <c r="E12" s="1"/>
    </row>
    <row r="13" spans="1:5" x14ac:dyDescent="0.3">
      <c r="A13" s="1"/>
      <c r="B13" s="69" t="s">
        <v>107</v>
      </c>
      <c r="C13" s="9"/>
      <c r="D13" s="9" t="s">
        <v>3</v>
      </c>
      <c r="E13" s="1"/>
    </row>
    <row r="14" spans="1:5" x14ac:dyDescent="0.3">
      <c r="A14" s="1"/>
      <c r="B14" s="69" t="s">
        <v>108</v>
      </c>
      <c r="C14" s="9"/>
      <c r="D14" s="9" t="s">
        <v>3</v>
      </c>
      <c r="E14" s="1"/>
    </row>
    <row r="15" spans="1:5" x14ac:dyDescent="0.3">
      <c r="A15" s="1"/>
      <c r="B15" s="69" t="s">
        <v>109</v>
      </c>
      <c r="C15" s="9"/>
      <c r="D15" s="9" t="s">
        <v>3</v>
      </c>
      <c r="E15" s="1"/>
    </row>
    <row r="16" spans="1:5" x14ac:dyDescent="0.3">
      <c r="A16" s="1"/>
      <c r="B16" s="69" t="s">
        <v>110</v>
      </c>
      <c r="C16" s="9"/>
      <c r="D16" s="9" t="s">
        <v>3</v>
      </c>
      <c r="E16" s="1"/>
    </row>
    <row r="17" spans="1:5" x14ac:dyDescent="0.3">
      <c r="A17" s="1"/>
      <c r="B17" s="69" t="s">
        <v>111</v>
      </c>
      <c r="C17" s="9"/>
      <c r="D17" s="9" t="s">
        <v>3</v>
      </c>
      <c r="E17" s="1"/>
    </row>
    <row r="18" spans="1:5" x14ac:dyDescent="0.3">
      <c r="A18" s="1"/>
      <c r="B18" s="77" t="s">
        <v>112</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TvbFdxJPKsDAyfSwHkb6fWpZ2WELJ+DKtXc1vzdvMpn+dcafzWkcIjKujvX6970TCFprPXFIsdwS3PNCAwi+cg==" saltValue="e68lA4S+czSvIRMaoDjSm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4.4" zeroHeight="1" x14ac:dyDescent="0.3"/>
  <cols>
    <col min="1" max="1" width="5.33203125" style="2" customWidth="1"/>
    <col min="2" max="2" width="55.664062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10" t="s">
        <v>171</v>
      </c>
      <c r="C3" s="110"/>
      <c r="D3" s="110"/>
      <c r="E3" s="1"/>
    </row>
    <row r="4" spans="1:5" ht="15" customHeight="1" x14ac:dyDescent="0.3">
      <c r="A4" s="1"/>
      <c r="B4" s="110"/>
      <c r="C4" s="110"/>
      <c r="D4" s="110"/>
      <c r="E4" s="1"/>
    </row>
    <row r="5" spans="1:5" x14ac:dyDescent="0.3">
      <c r="A5" s="1"/>
      <c r="B5" s="1"/>
      <c r="C5" s="1"/>
      <c r="D5" s="1"/>
      <c r="E5" s="1"/>
    </row>
    <row r="6" spans="1:5" x14ac:dyDescent="0.3">
      <c r="A6" s="1"/>
      <c r="B6" s="1"/>
      <c r="C6" s="1"/>
      <c r="D6" s="1"/>
      <c r="E6" s="1"/>
    </row>
    <row r="7" spans="1:5" x14ac:dyDescent="0.3">
      <c r="A7" s="1"/>
      <c r="B7" s="1"/>
      <c r="C7" s="1"/>
      <c r="D7" s="1"/>
      <c r="E7" s="1"/>
    </row>
    <row r="8" spans="1:5" ht="15" customHeight="1" x14ac:dyDescent="0.3">
      <c r="A8" s="1"/>
      <c r="B8" s="112" t="s">
        <v>172</v>
      </c>
      <c r="C8" s="113"/>
      <c r="D8" s="114"/>
      <c r="E8" s="1"/>
    </row>
    <row r="9" spans="1:5" ht="27" x14ac:dyDescent="0.3">
      <c r="A9" s="1"/>
      <c r="B9" s="80" t="s">
        <v>216</v>
      </c>
      <c r="C9" s="7"/>
      <c r="D9" s="8" t="s">
        <v>3</v>
      </c>
      <c r="E9" s="1"/>
    </row>
    <row r="10" spans="1:5" ht="14.25" customHeight="1" x14ac:dyDescent="0.3">
      <c r="A10" s="1"/>
      <c r="B10" s="66" t="s">
        <v>173</v>
      </c>
      <c r="C10" s="7"/>
      <c r="D10" s="8" t="s">
        <v>3</v>
      </c>
      <c r="E10" s="1"/>
    </row>
    <row r="11" spans="1:5" ht="14.25" customHeight="1" x14ac:dyDescent="0.3">
      <c r="A11" s="1"/>
      <c r="B11" s="83" t="s">
        <v>49</v>
      </c>
      <c r="C11" s="10">
        <f>C10-C9</f>
        <v>0</v>
      </c>
      <c r="D11" s="11" t="s">
        <v>3</v>
      </c>
      <c r="E11" s="1"/>
    </row>
    <row r="12" spans="1:5" ht="14.25" customHeight="1" x14ac:dyDescent="0.3">
      <c r="A12" s="1"/>
      <c r="B12" s="112" t="s">
        <v>218</v>
      </c>
      <c r="C12" s="113"/>
      <c r="D12" s="114"/>
      <c r="E12" s="1"/>
    </row>
    <row r="13" spans="1:5" ht="27" x14ac:dyDescent="0.3">
      <c r="A13" s="1"/>
      <c r="B13" s="80" t="s">
        <v>217</v>
      </c>
      <c r="C13" s="7">
        <v>596009</v>
      </c>
      <c r="D13" s="8" t="s">
        <v>3</v>
      </c>
      <c r="E13" s="1"/>
    </row>
    <row r="14" spans="1:5" ht="14.25" customHeight="1" x14ac:dyDescent="0.3">
      <c r="A14" s="1"/>
      <c r="B14" s="66" t="s">
        <v>174</v>
      </c>
      <c r="C14" s="7">
        <v>0</v>
      </c>
      <c r="D14" s="8" t="s">
        <v>3</v>
      </c>
      <c r="E14" s="1"/>
    </row>
    <row r="15" spans="1:5" ht="14.25" customHeight="1" x14ac:dyDescent="0.3">
      <c r="A15" s="1"/>
      <c r="B15" s="83" t="s">
        <v>49</v>
      </c>
      <c r="C15" s="10">
        <f>C14-C13</f>
        <v>-596009</v>
      </c>
      <c r="D15" s="11" t="s">
        <v>3</v>
      </c>
      <c r="E15" s="1"/>
    </row>
    <row r="16" spans="1:5" ht="14.25" customHeight="1" x14ac:dyDescent="0.3">
      <c r="A16" s="1"/>
      <c r="B16" s="33" t="s">
        <v>175</v>
      </c>
      <c r="C16" s="12">
        <f>C11+C15</f>
        <v>-596009</v>
      </c>
      <c r="D16" s="13" t="s">
        <v>3</v>
      </c>
      <c r="E16" s="1"/>
    </row>
    <row r="17" spans="1:5" x14ac:dyDescent="0.3">
      <c r="A17" s="1"/>
      <c r="B17" s="1"/>
      <c r="C17" s="1"/>
      <c r="D17" s="1"/>
      <c r="E17" s="1"/>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sheetData>
  <sheetProtection algorithmName="SHA-512" hashValue="wjwHZjluk71hCNLLUWNBdYBGToDk3tY6a6KAK7RjxDQibm++5GGi86hfPLB2QUlEzqNLPEQCDJjqyGviIr0+jw==" saltValue="xa2a1Xl+HEm1vWClF+0lz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105" t="s">
        <v>114</v>
      </c>
      <c r="C3" s="105"/>
      <c r="D3" s="105"/>
      <c r="E3" s="105"/>
      <c r="F3" s="105"/>
      <c r="G3" s="105"/>
      <c r="H3" s="105"/>
      <c r="I3" s="105"/>
      <c r="J3" s="105"/>
      <c r="K3" s="105"/>
      <c r="L3" s="1"/>
    </row>
    <row r="4" spans="1:12" ht="15" customHeight="1" x14ac:dyDescent="0.3">
      <c r="A4" s="1"/>
      <c r="B4" s="105"/>
      <c r="C4" s="105"/>
      <c r="D4" s="105"/>
      <c r="E4" s="105"/>
      <c r="F4" s="105"/>
      <c r="G4" s="105"/>
      <c r="H4" s="105"/>
      <c r="I4" s="105"/>
      <c r="J4" s="105"/>
      <c r="K4" s="105"/>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112" t="s">
        <v>87</v>
      </c>
      <c r="C8" s="113"/>
      <c r="D8" s="113"/>
      <c r="E8" s="113"/>
      <c r="F8" s="113"/>
      <c r="G8" s="113"/>
      <c r="H8" s="113"/>
      <c r="I8" s="113"/>
      <c r="J8" s="113"/>
      <c r="K8" s="114"/>
      <c r="L8" s="1"/>
    </row>
    <row r="9" spans="1:12" ht="39.75" customHeight="1" x14ac:dyDescent="0.3">
      <c r="A9" s="1"/>
      <c r="B9" s="18" t="s">
        <v>0</v>
      </c>
      <c r="C9" s="18" t="s">
        <v>1</v>
      </c>
      <c r="D9" s="129" t="s">
        <v>97</v>
      </c>
      <c r="E9" s="130"/>
      <c r="F9" s="129" t="s">
        <v>2</v>
      </c>
      <c r="G9" s="130"/>
      <c r="H9" s="129" t="s">
        <v>96</v>
      </c>
      <c r="I9" s="130"/>
      <c r="J9" s="129" t="s">
        <v>26</v>
      </c>
      <c r="K9" s="130"/>
      <c r="L9" s="1"/>
    </row>
    <row r="10" spans="1:12" x14ac:dyDescent="0.3">
      <c r="A10" s="1"/>
      <c r="B10" s="69" t="s">
        <v>223</v>
      </c>
      <c r="C10" s="42">
        <v>0</v>
      </c>
      <c r="D10" s="9">
        <v>0</v>
      </c>
      <c r="E10" s="14" t="s">
        <v>3</v>
      </c>
      <c r="F10" s="9">
        <f>IFERROR(D10/C10,0)</f>
        <v>0</v>
      </c>
      <c r="G10" s="14" t="s">
        <v>3</v>
      </c>
      <c r="H10" s="38">
        <v>0</v>
      </c>
      <c r="I10" s="14" t="s">
        <v>3</v>
      </c>
      <c r="J10" s="38">
        <v>0</v>
      </c>
      <c r="K10" s="14" t="s">
        <v>3</v>
      </c>
      <c r="L10" s="1"/>
    </row>
    <row r="11" spans="1:12" x14ac:dyDescent="0.3">
      <c r="A11" s="1"/>
      <c r="B11" s="77" t="s">
        <v>220</v>
      </c>
      <c r="C11" s="78"/>
      <c r="D11" s="79"/>
      <c r="E11" s="79"/>
      <c r="F11" s="12">
        <f>SUM(F10:F10)</f>
        <v>0</v>
      </c>
      <c r="G11" s="12" t="s">
        <v>95</v>
      </c>
      <c r="H11" s="12">
        <f>SUM(H10:H10)</f>
        <v>0</v>
      </c>
      <c r="I11" s="12" t="s">
        <v>95</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hidden="1" x14ac:dyDescent="0.3">
      <c r="A47" s="44"/>
      <c r="B47" s="44"/>
      <c r="C47" s="44"/>
      <c r="D47" s="44"/>
      <c r="E47" s="44"/>
      <c r="F47" s="44"/>
      <c r="G47" s="44"/>
      <c r="H47" s="44"/>
      <c r="I47" s="44"/>
      <c r="J47" s="44"/>
      <c r="K47" s="44"/>
      <c r="L47" s="44"/>
    </row>
    <row r="48" spans="1:12" hidden="1" x14ac:dyDescent="0.3">
      <c r="A48" s="44"/>
      <c r="B48" s="44"/>
      <c r="C48" s="44"/>
      <c r="D48" s="44"/>
      <c r="E48" s="44"/>
      <c r="F48" s="44"/>
      <c r="G48" s="44"/>
      <c r="H48" s="44"/>
      <c r="I48" s="44"/>
      <c r="J48" s="44"/>
      <c r="K48" s="44"/>
      <c r="L48" s="44"/>
    </row>
    <row r="49" hidden="1" x14ac:dyDescent="0.3"/>
    <row r="50" hidden="1" x14ac:dyDescent="0.3"/>
    <row r="51" hidden="1" x14ac:dyDescent="0.3"/>
    <row r="52" hidden="1" x14ac:dyDescent="0.3"/>
  </sheetData>
  <sheetProtection algorithmName="SHA-512" hashValue="3D6nHbqf9Qed7SYjD8w55s/M41j2EJNgZUB9ThwpYqOc4yEzEvrRafzwabLrWSZAY/CvGW4aEs64PPfdc55cSA==" saltValue="uBCgWKo8U3qC81eeZ0IQH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5" t="s">
        <v>115</v>
      </c>
      <c r="C3" s="105"/>
      <c r="D3" s="105"/>
      <c r="E3" s="105"/>
      <c r="F3" s="105"/>
      <c r="G3" s="1"/>
    </row>
    <row r="4" spans="1:7" ht="15" customHeight="1" x14ac:dyDescent="0.3">
      <c r="A4" s="1"/>
      <c r="B4" s="105"/>
      <c r="C4" s="105"/>
      <c r="D4" s="105"/>
      <c r="E4" s="105"/>
      <c r="F4" s="105"/>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33" t="s">
        <v>37</v>
      </c>
      <c r="C8" s="28"/>
      <c r="D8" s="28"/>
      <c r="E8" s="28"/>
      <c r="F8" s="19"/>
      <c r="G8" s="1"/>
    </row>
    <row r="9" spans="1:7" ht="17.25" customHeight="1" x14ac:dyDescent="0.3">
      <c r="A9" s="1"/>
      <c r="B9" s="81" t="s">
        <v>17</v>
      </c>
      <c r="C9" s="83" t="s">
        <v>11</v>
      </c>
      <c r="D9" s="82"/>
      <c r="E9" s="83" t="s">
        <v>27</v>
      </c>
      <c r="F9" s="32"/>
      <c r="G9" s="1"/>
    </row>
    <row r="10" spans="1:7" x14ac:dyDescent="0.3">
      <c r="A10" s="1"/>
      <c r="B10" s="24" t="s">
        <v>88</v>
      </c>
      <c r="C10" s="21">
        <f>'Fane 10. Anlægsprojekter (§ 19)'!H11</f>
        <v>0</v>
      </c>
      <c r="D10" s="14" t="s">
        <v>3</v>
      </c>
      <c r="E10" s="9">
        <f>'Fane 10. Anlægsprojekter (§ 19)'!F11+'Fane 10. Anlægsprojekter (§ 19)'!J11</f>
        <v>0</v>
      </c>
      <c r="F10" s="14" t="s">
        <v>3</v>
      </c>
      <c r="G10" s="1"/>
    </row>
    <row r="11" spans="1:7" x14ac:dyDescent="0.3">
      <c r="A11" s="1"/>
      <c r="B11" s="24" t="s">
        <v>235</v>
      </c>
      <c r="C11" s="21">
        <v>165370</v>
      </c>
      <c r="D11" s="14" t="s">
        <v>3</v>
      </c>
      <c r="E11" s="9">
        <v>253677</v>
      </c>
      <c r="F11" s="14" t="s">
        <v>3</v>
      </c>
      <c r="G11" s="1"/>
    </row>
    <row r="12" spans="1:7" x14ac:dyDescent="0.3">
      <c r="A12" s="1"/>
      <c r="B12" s="24" t="s">
        <v>236</v>
      </c>
      <c r="C12" s="21">
        <v>0</v>
      </c>
      <c r="D12" s="14" t="s">
        <v>3</v>
      </c>
      <c r="E12" s="9">
        <v>64165</v>
      </c>
      <c r="F12" s="14" t="s">
        <v>3</v>
      </c>
      <c r="G12" s="1"/>
    </row>
    <row r="13" spans="1:7" ht="27" x14ac:dyDescent="0.3">
      <c r="A13" s="1"/>
      <c r="B13" s="71" t="s">
        <v>238</v>
      </c>
      <c r="C13" s="21">
        <v>1213935</v>
      </c>
      <c r="D13" s="14" t="s">
        <v>3</v>
      </c>
      <c r="E13" s="9">
        <v>0</v>
      </c>
      <c r="F13" s="14" t="s">
        <v>3</v>
      </c>
      <c r="G13" s="1"/>
    </row>
    <row r="14" spans="1:7" x14ac:dyDescent="0.3">
      <c r="A14" s="1"/>
      <c r="B14" s="24"/>
      <c r="C14" s="21"/>
      <c r="D14" s="14" t="s">
        <v>3</v>
      </c>
      <c r="E14" s="9"/>
      <c r="F14" s="14" t="s">
        <v>3</v>
      </c>
      <c r="G14" s="1"/>
    </row>
    <row r="15" spans="1:7" x14ac:dyDescent="0.3">
      <c r="A15" s="1"/>
      <c r="B15" s="24"/>
      <c r="C15" s="21"/>
      <c r="D15" s="14" t="s">
        <v>3</v>
      </c>
      <c r="E15" s="9"/>
      <c r="F15" s="14" t="s">
        <v>3</v>
      </c>
      <c r="G15" s="1"/>
    </row>
    <row r="16" spans="1:7" x14ac:dyDescent="0.3">
      <c r="A16" s="1"/>
      <c r="B16" s="24"/>
      <c r="C16" s="21"/>
      <c r="D16" s="14" t="s">
        <v>3</v>
      </c>
      <c r="E16" s="9"/>
      <c r="F16" s="14" t="s">
        <v>3</v>
      </c>
      <c r="G16" s="1"/>
    </row>
    <row r="17" spans="1:7" x14ac:dyDescent="0.3">
      <c r="A17" s="1"/>
      <c r="B17" s="24"/>
      <c r="C17" s="21"/>
      <c r="D17" s="14" t="s">
        <v>3</v>
      </c>
      <c r="E17" s="9"/>
      <c r="F17" s="14" t="s">
        <v>3</v>
      </c>
      <c r="G17" s="1"/>
    </row>
    <row r="18" spans="1:7" x14ac:dyDescent="0.3">
      <c r="A18" s="1"/>
      <c r="B18" s="24"/>
      <c r="C18" s="21"/>
      <c r="D18" s="14" t="s">
        <v>3</v>
      </c>
      <c r="E18" s="9"/>
      <c r="F18" s="14" t="s">
        <v>3</v>
      </c>
      <c r="G18" s="1"/>
    </row>
    <row r="19" spans="1:7" x14ac:dyDescent="0.3">
      <c r="A19" s="1"/>
      <c r="B19" s="33" t="s">
        <v>140</v>
      </c>
      <c r="C19" s="12">
        <f>SUM(C10:C18)</f>
        <v>1379305</v>
      </c>
      <c r="D19" s="13" t="s">
        <v>3</v>
      </c>
      <c r="E19" s="12">
        <f>SUM(E10:E18)</f>
        <v>317842</v>
      </c>
      <c r="F19" s="13" t="s">
        <v>3</v>
      </c>
      <c r="G19" s="1"/>
    </row>
    <row r="20" spans="1:7" x14ac:dyDescent="0.3">
      <c r="A20" s="1"/>
      <c r="B20" s="33" t="s">
        <v>176</v>
      </c>
      <c r="C20" s="12">
        <f>C19*(1+'Fane 15. Nøgletal'!C10)</f>
        <v>1470752.9214999999</v>
      </c>
      <c r="D20" s="13" t="s">
        <v>3</v>
      </c>
      <c r="E20" s="12">
        <f>E19*(1+'Fane 15. Nøgletal'!C10)</f>
        <v>338914.92460000003</v>
      </c>
      <c r="F20" s="13" t="s">
        <v>3</v>
      </c>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UhG5vV9ZVcLD5QyaTczS8iDbJorCMvysU4HwXY9Ryfzeqy/IdJn1HKw1LyassSF5ARsxQP1kuKgQ3BSjGhjt/g==" saltValue="nJnwxeemLnKyDhAUnIyOj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44140625" style="2" bestFit="1"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5" t="s">
        <v>116</v>
      </c>
      <c r="C3" s="105"/>
      <c r="D3" s="105"/>
      <c r="E3" s="105"/>
      <c r="F3" s="105"/>
      <c r="G3" s="1"/>
    </row>
    <row r="4" spans="1:7" ht="15" customHeight="1" x14ac:dyDescent="0.3">
      <c r="A4" s="1"/>
      <c r="B4" s="105"/>
      <c r="C4" s="105"/>
      <c r="D4" s="105"/>
      <c r="E4" s="105"/>
      <c r="F4" s="105"/>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12" t="s">
        <v>177</v>
      </c>
      <c r="C8" s="113"/>
      <c r="D8" s="113"/>
      <c r="E8" s="113"/>
      <c r="F8" s="114"/>
      <c r="G8" s="1"/>
    </row>
    <row r="9" spans="1:7" x14ac:dyDescent="0.3">
      <c r="A9" s="1"/>
      <c r="B9" s="81" t="s">
        <v>17</v>
      </c>
      <c r="C9" s="83" t="s">
        <v>11</v>
      </c>
      <c r="D9" s="82"/>
      <c r="E9" s="83" t="s">
        <v>27</v>
      </c>
      <c r="F9" s="32"/>
      <c r="G9" s="1"/>
    </row>
    <row r="10" spans="1:7" x14ac:dyDescent="0.3">
      <c r="A10" s="1"/>
      <c r="B10" s="24" t="s">
        <v>237</v>
      </c>
      <c r="C10" s="21"/>
      <c r="D10" s="14" t="s">
        <v>3</v>
      </c>
      <c r="E10" s="9"/>
      <c r="F10" s="14" t="s">
        <v>3</v>
      </c>
      <c r="G10" s="1"/>
    </row>
    <row r="11" spans="1:7" x14ac:dyDescent="0.3">
      <c r="A11" s="1"/>
      <c r="B11" s="24"/>
      <c r="C11" s="21"/>
      <c r="D11" s="14" t="s">
        <v>3</v>
      </c>
      <c r="E11" s="9"/>
      <c r="F11" s="14" t="s">
        <v>3</v>
      </c>
      <c r="G11" s="1"/>
    </row>
    <row r="12" spans="1:7" x14ac:dyDescent="0.3">
      <c r="A12" s="1"/>
      <c r="B12" s="24"/>
      <c r="C12" s="21"/>
      <c r="D12" s="14" t="s">
        <v>3</v>
      </c>
      <c r="E12" s="9"/>
      <c r="F12" s="14" t="s">
        <v>3</v>
      </c>
      <c r="G12" s="1"/>
    </row>
    <row r="13" spans="1:7" x14ac:dyDescent="0.3">
      <c r="A13" s="1"/>
      <c r="B13" s="33" t="s">
        <v>178</v>
      </c>
      <c r="C13" s="12">
        <f>SUM(C10:C12)</f>
        <v>0</v>
      </c>
      <c r="D13" s="13" t="s">
        <v>3</v>
      </c>
      <c r="E13" s="12">
        <f>SUM(E10:E12)</f>
        <v>0</v>
      </c>
      <c r="F13" s="13" t="s">
        <v>3</v>
      </c>
      <c r="G13" s="1"/>
    </row>
    <row r="14" spans="1:7" x14ac:dyDescent="0.3">
      <c r="A14" s="1"/>
      <c r="B14" s="33" t="s">
        <v>179</v>
      </c>
      <c r="C14" s="12">
        <f>C13*(1+'Fane 15. Nøgletal'!C10)^2</f>
        <v>0</v>
      </c>
      <c r="D14" s="13" t="s">
        <v>3</v>
      </c>
      <c r="E14" s="12">
        <f>E13*(1+'Fane 15. Nøgletal'!C10)^2</f>
        <v>0</v>
      </c>
      <c r="F14" s="13" t="s">
        <v>3</v>
      </c>
      <c r="G14" s="1"/>
    </row>
    <row r="15" spans="1:7" x14ac:dyDescent="0.3">
      <c r="A15" s="1"/>
      <c r="B15" s="1"/>
      <c r="C15" s="1"/>
      <c r="D15" s="1"/>
      <c r="E15" s="1"/>
      <c r="F15" s="1"/>
      <c r="G15" s="1"/>
    </row>
    <row r="16" spans="1:7" x14ac:dyDescent="0.3">
      <c r="A16" s="1"/>
      <c r="B16" s="131"/>
      <c r="C16" s="131"/>
      <c r="D16" s="131"/>
      <c r="E16" s="131"/>
      <c r="F16" s="131"/>
      <c r="G16" s="1"/>
    </row>
    <row r="17" spans="1:7" x14ac:dyDescent="0.3">
      <c r="A17" s="1"/>
      <c r="B17" s="47"/>
      <c r="C17" s="47"/>
      <c r="D17" s="47"/>
      <c r="E17" s="47"/>
      <c r="F17" s="48"/>
      <c r="G17" s="1"/>
    </row>
    <row r="18" spans="1:7" x14ac:dyDescent="0.3">
      <c r="A18" s="1"/>
      <c r="B18" s="49"/>
      <c r="C18" s="50"/>
      <c r="D18" s="51"/>
      <c r="E18" s="52"/>
      <c r="F18" s="51"/>
      <c r="G18" s="1"/>
    </row>
    <row r="19" spans="1:7" x14ac:dyDescent="0.3">
      <c r="A19" s="1"/>
      <c r="B19" s="49"/>
      <c r="C19" s="50"/>
      <c r="D19" s="51"/>
      <c r="E19" s="52"/>
      <c r="F19" s="51"/>
      <c r="G19" s="1"/>
    </row>
    <row r="20" spans="1:7" x14ac:dyDescent="0.3">
      <c r="A20" s="1"/>
      <c r="B20" s="53"/>
      <c r="C20" s="54"/>
      <c r="D20" s="55"/>
      <c r="E20" s="54"/>
      <c r="F20" s="55"/>
      <c r="G20" s="1"/>
    </row>
    <row r="21" spans="1:7" x14ac:dyDescent="0.3">
      <c r="A21" s="1"/>
      <c r="B21" s="53"/>
      <c r="C21" s="54"/>
      <c r="D21" s="55"/>
      <c r="E21" s="54"/>
      <c r="F21" s="55"/>
      <c r="G21" s="1"/>
    </row>
    <row r="22" spans="1:7" x14ac:dyDescent="0.3">
      <c r="A22" s="1"/>
      <c r="B22" s="46"/>
      <c r="C22" s="46"/>
      <c r="D22" s="46"/>
      <c r="E22" s="46"/>
      <c r="F22" s="46"/>
      <c r="G22" s="1"/>
    </row>
    <row r="23" spans="1:7" x14ac:dyDescent="0.3">
      <c r="A23" s="1"/>
      <c r="B23" s="47"/>
      <c r="C23" s="47"/>
      <c r="D23" s="47"/>
      <c r="E23" s="47"/>
      <c r="F23" s="48"/>
      <c r="G23" s="1"/>
    </row>
    <row r="24" spans="1:7" x14ac:dyDescent="0.3">
      <c r="A24" s="1"/>
      <c r="B24" s="49"/>
      <c r="C24" s="50"/>
      <c r="D24" s="51"/>
      <c r="E24" s="52"/>
      <c r="F24" s="51"/>
      <c r="G24" s="1"/>
    </row>
    <row r="25" spans="1:7" x14ac:dyDescent="0.3">
      <c r="A25" s="1"/>
      <c r="B25" s="49"/>
      <c r="C25" s="50"/>
      <c r="D25" s="51"/>
      <c r="E25" s="52"/>
      <c r="F25" s="51"/>
      <c r="G25" s="1"/>
    </row>
    <row r="26" spans="1:7" x14ac:dyDescent="0.3">
      <c r="A26" s="1"/>
      <c r="B26" s="53"/>
      <c r="C26" s="54"/>
      <c r="D26" s="55"/>
      <c r="E26" s="54"/>
      <c r="F26" s="55"/>
      <c r="G26" s="1"/>
    </row>
    <row r="27" spans="1:7" x14ac:dyDescent="0.3">
      <c r="A27" s="1"/>
      <c r="B27" s="53"/>
      <c r="C27" s="54"/>
      <c r="D27" s="55"/>
      <c r="E27" s="54"/>
      <c r="F27" s="55"/>
      <c r="G27" s="1"/>
    </row>
    <row r="28" spans="1:7" x14ac:dyDescent="0.3">
      <c r="A28" s="1"/>
      <c r="B28" s="46"/>
      <c r="C28" s="46"/>
      <c r="D28" s="46"/>
      <c r="E28" s="46"/>
      <c r="F28" s="46"/>
      <c r="G28" s="1"/>
    </row>
    <row r="29" spans="1:7" x14ac:dyDescent="0.3">
      <c r="A29" s="1"/>
      <c r="B29" s="131"/>
      <c r="C29" s="131"/>
      <c r="D29" s="131"/>
      <c r="E29" s="131"/>
      <c r="F29" s="131"/>
      <c r="G29" s="1"/>
    </row>
    <row r="30" spans="1:7" x14ac:dyDescent="0.3">
      <c r="A30" s="1"/>
      <c r="B30" s="47"/>
      <c r="C30" s="47"/>
      <c r="D30" s="47"/>
      <c r="E30" s="47"/>
      <c r="F30" s="48"/>
      <c r="G30" s="1"/>
    </row>
    <row r="31" spans="1:7" x14ac:dyDescent="0.3">
      <c r="A31" s="1"/>
      <c r="B31" s="49"/>
      <c r="C31" s="50"/>
      <c r="D31" s="51"/>
      <c r="E31" s="52"/>
      <c r="F31" s="51"/>
      <c r="G31" s="1"/>
    </row>
    <row r="32" spans="1:7" x14ac:dyDescent="0.3">
      <c r="A32" s="1"/>
      <c r="B32" s="49"/>
      <c r="C32" s="50"/>
      <c r="D32" s="51"/>
      <c r="E32" s="52"/>
      <c r="F32" s="51"/>
      <c r="G32" s="1"/>
    </row>
    <row r="33" spans="1:7" x14ac:dyDescent="0.3">
      <c r="A33" s="1"/>
      <c r="B33" s="53"/>
      <c r="C33" s="54"/>
      <c r="D33" s="55"/>
      <c r="E33" s="54"/>
      <c r="F33" s="55"/>
      <c r="G33" s="1"/>
    </row>
    <row r="34" spans="1:7" x14ac:dyDescent="0.3">
      <c r="A34" s="1"/>
      <c r="B34" s="53"/>
      <c r="C34" s="54"/>
      <c r="D34" s="55"/>
      <c r="E34" s="54"/>
      <c r="F34" s="55"/>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ghrrlHsDp2ViujcUt5hVTq9iGmMnUdoUrRtRHkhg0chetSUdz6oo5fAwCtwkglrrG/zBRiUBPdAh8id+UdPvUg==" saltValue="I0phwnbAKmESp0u3E3eGP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10" t="s">
        <v>117</v>
      </c>
      <c r="C3" s="110"/>
      <c r="D3" s="110"/>
      <c r="E3" s="1"/>
    </row>
    <row r="4" spans="1:5" ht="15" customHeight="1" x14ac:dyDescent="0.3">
      <c r="A4" s="1"/>
      <c r="B4" s="110"/>
      <c r="C4" s="110"/>
      <c r="D4" s="110"/>
      <c r="E4" s="1"/>
    </row>
    <row r="5" spans="1:5" x14ac:dyDescent="0.3">
      <c r="A5" s="1"/>
      <c r="B5" s="110"/>
      <c r="C5" s="110"/>
      <c r="D5" s="110"/>
      <c r="E5" s="1"/>
    </row>
    <row r="6" spans="1:5" x14ac:dyDescent="0.3">
      <c r="A6" s="1"/>
      <c r="B6" s="1"/>
      <c r="C6" s="1"/>
      <c r="D6" s="1"/>
      <c r="E6" s="1"/>
    </row>
    <row r="7" spans="1:5" x14ac:dyDescent="0.3">
      <c r="A7" s="1"/>
      <c r="B7" s="1"/>
      <c r="C7" s="1"/>
      <c r="D7" s="1"/>
      <c r="E7" s="1"/>
    </row>
    <row r="8" spans="1:5" ht="14.25" customHeight="1" x14ac:dyDescent="0.3">
      <c r="A8" s="1"/>
      <c r="B8" s="112" t="s">
        <v>74</v>
      </c>
      <c r="C8" s="113"/>
      <c r="D8" s="114"/>
      <c r="E8" s="1"/>
    </row>
    <row r="9" spans="1:5" x14ac:dyDescent="0.3">
      <c r="A9" s="1"/>
      <c r="B9" s="69" t="s">
        <v>180</v>
      </c>
      <c r="C9" s="9"/>
      <c r="D9" s="14" t="s">
        <v>3</v>
      </c>
      <c r="E9" s="1"/>
    </row>
    <row r="10" spans="1:5" x14ac:dyDescent="0.3">
      <c r="A10" s="1"/>
      <c r="B10" s="65" t="s">
        <v>10</v>
      </c>
      <c r="C10" s="9">
        <f>-C9*'Fane 5. Individuelt eff. krav'!C9</f>
        <v>0</v>
      </c>
      <c r="D10" s="14" t="s">
        <v>3</v>
      </c>
      <c r="E10" s="1"/>
    </row>
    <row r="11" spans="1:5" x14ac:dyDescent="0.3">
      <c r="A11" s="1"/>
      <c r="B11" s="65" t="s">
        <v>22</v>
      </c>
      <c r="C11" s="9">
        <f>-C9*'Fane 15. Nøgletal'!C21</f>
        <v>0</v>
      </c>
      <c r="D11" s="14" t="s">
        <v>3</v>
      </c>
      <c r="E11" s="1"/>
    </row>
    <row r="12" spans="1:5" x14ac:dyDescent="0.3">
      <c r="A12" s="1"/>
      <c r="B12" s="77" t="s">
        <v>75</v>
      </c>
      <c r="C12" s="12">
        <f>SUM(C9:C11)*(1+'Fane 15. Nøgletal'!C9)^2</f>
        <v>0</v>
      </c>
      <c r="D12" s="13" t="s">
        <v>3</v>
      </c>
      <c r="E12" s="1"/>
    </row>
    <row r="13" spans="1:5" x14ac:dyDescent="0.3">
      <c r="A13" s="1"/>
      <c r="B13" s="1"/>
      <c r="C13" s="1"/>
      <c r="D13" s="1"/>
      <c r="E13" s="1"/>
    </row>
    <row r="14" spans="1:5" ht="15" customHeight="1" x14ac:dyDescent="0.3">
      <c r="A14" s="1"/>
      <c r="B14" s="112" t="s">
        <v>85</v>
      </c>
      <c r="C14" s="113"/>
      <c r="D14" s="114"/>
      <c r="E14" s="1"/>
    </row>
    <row r="15" spans="1:5" x14ac:dyDescent="0.3">
      <c r="A15" s="1"/>
      <c r="B15" s="69" t="s">
        <v>180</v>
      </c>
      <c r="C15" s="9"/>
      <c r="D15" s="14" t="s">
        <v>3</v>
      </c>
      <c r="E15" s="1"/>
    </row>
    <row r="16" spans="1:5" x14ac:dyDescent="0.3">
      <c r="A16" s="1"/>
      <c r="B16" s="65" t="s">
        <v>10</v>
      </c>
      <c r="C16" s="9">
        <f>-C15*'Fane 5. Individuelt eff. krav'!C9</f>
        <v>0</v>
      </c>
      <c r="D16" s="14" t="s">
        <v>3</v>
      </c>
      <c r="E16" s="1"/>
    </row>
    <row r="17" spans="1:5" x14ac:dyDescent="0.3">
      <c r="A17" s="1"/>
      <c r="B17" s="65" t="s">
        <v>22</v>
      </c>
      <c r="C17" s="9">
        <f>-C15*'Fane 15. Nøgletal'!C21</f>
        <v>0</v>
      </c>
      <c r="D17" s="14" t="s">
        <v>3</v>
      </c>
      <c r="E17" s="1"/>
    </row>
    <row r="18" spans="1:5" x14ac:dyDescent="0.3">
      <c r="A18" s="1"/>
      <c r="B18" s="77" t="s">
        <v>86</v>
      </c>
      <c r="C18" s="12">
        <f>SUM(C15:C17)*(1+'Fane 15. Nøgletal'!C10)^3</f>
        <v>0</v>
      </c>
      <c r="D18" s="13" t="s">
        <v>3</v>
      </c>
      <c r="E18" s="1"/>
    </row>
    <row r="19" spans="1:5" x14ac:dyDescent="0.3">
      <c r="A19" s="1"/>
      <c r="B19" s="1"/>
      <c r="C19" s="1"/>
      <c r="D19" s="1"/>
      <c r="E19" s="1"/>
    </row>
    <row r="20" spans="1:5" ht="15" customHeight="1" x14ac:dyDescent="0.3">
      <c r="A20" s="1"/>
      <c r="B20" s="112" t="s">
        <v>141</v>
      </c>
      <c r="C20" s="113"/>
      <c r="D20" s="114"/>
      <c r="E20" s="1"/>
    </row>
    <row r="21" spans="1:5" x14ac:dyDescent="0.3">
      <c r="A21" s="1"/>
      <c r="B21" s="69" t="s">
        <v>180</v>
      </c>
      <c r="C21" s="9"/>
      <c r="D21" s="14" t="s">
        <v>3</v>
      </c>
      <c r="E21" s="1"/>
    </row>
    <row r="22" spans="1:5" x14ac:dyDescent="0.3">
      <c r="A22" s="1"/>
      <c r="B22" s="65" t="s">
        <v>10</v>
      </c>
      <c r="C22" s="9">
        <f>-C21*'Fane 5. Individuelt eff. krav'!C9</f>
        <v>0</v>
      </c>
      <c r="D22" s="14" t="s">
        <v>3</v>
      </c>
      <c r="E22" s="1"/>
    </row>
    <row r="23" spans="1:5" x14ac:dyDescent="0.3">
      <c r="A23" s="1"/>
      <c r="B23" s="65" t="s">
        <v>22</v>
      </c>
      <c r="C23" s="9">
        <f>-C21*'Fane 15. Nøgletal'!C21</f>
        <v>0</v>
      </c>
      <c r="D23" s="14" t="s">
        <v>3</v>
      </c>
      <c r="E23" s="1"/>
    </row>
    <row r="24" spans="1:5" x14ac:dyDescent="0.3">
      <c r="A24" s="1"/>
      <c r="B24" s="77" t="s">
        <v>142</v>
      </c>
      <c r="C24" s="12">
        <f>SUM(C21:C23)*(1+'Fane 15. Nøgletal'!C10)^4</f>
        <v>0</v>
      </c>
      <c r="D24" s="13" t="s">
        <v>3</v>
      </c>
      <c r="E24" s="1"/>
    </row>
    <row r="25" spans="1:5" x14ac:dyDescent="0.3">
      <c r="A25" s="1"/>
      <c r="B25" s="1"/>
      <c r="C25" s="1"/>
      <c r="D25" s="1"/>
      <c r="E25" s="1"/>
    </row>
    <row r="26" spans="1:5" ht="15" customHeight="1" x14ac:dyDescent="0.3">
      <c r="A26" s="1"/>
      <c r="B26" s="112" t="s">
        <v>181</v>
      </c>
      <c r="C26" s="113"/>
      <c r="D26" s="114"/>
      <c r="E26" s="1"/>
    </row>
    <row r="27" spans="1:5" ht="14.25" customHeight="1" x14ac:dyDescent="0.3">
      <c r="A27" s="1"/>
      <c r="B27" s="69" t="s">
        <v>180</v>
      </c>
      <c r="C27" s="9"/>
      <c r="D27" s="14" t="s">
        <v>3</v>
      </c>
      <c r="E27" s="1"/>
    </row>
    <row r="28" spans="1:5" x14ac:dyDescent="0.3">
      <c r="A28" s="1"/>
      <c r="B28" s="65" t="s">
        <v>10</v>
      </c>
      <c r="C28" s="9">
        <f>-C27*'Fane 5. Individuelt eff. krav'!C9</f>
        <v>0</v>
      </c>
      <c r="D28" s="14" t="s">
        <v>3</v>
      </c>
      <c r="E28" s="1"/>
    </row>
    <row r="29" spans="1:5" x14ac:dyDescent="0.3">
      <c r="A29" s="1"/>
      <c r="B29" s="65" t="s">
        <v>22</v>
      </c>
      <c r="C29" s="9">
        <f>-C27*'Fane 15. Nøgletal'!C21</f>
        <v>0</v>
      </c>
      <c r="D29" s="14" t="s">
        <v>3</v>
      </c>
      <c r="E29" s="1"/>
    </row>
    <row r="30" spans="1:5" x14ac:dyDescent="0.3">
      <c r="A30" s="1"/>
      <c r="B30" s="77" t="s">
        <v>182</v>
      </c>
      <c r="C30" s="12">
        <f>SUM(C27:C29)*(1+'Fane 15. Nøgletal'!C10)^5</f>
        <v>0</v>
      </c>
      <c r="D30" s="13" t="s">
        <v>3</v>
      </c>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pla2qWebNb2MeGZX2UlW3LSgWlYM0EyRlqLtP+2B60uzr6zFFQVTC+tk4KryK9m197aLxLrXJu86JsRDshpnww==" saltValue="qwDBhMjxviqSGT8m/yVxD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10" t="s">
        <v>118</v>
      </c>
      <c r="C3" s="110"/>
      <c r="D3" s="110"/>
      <c r="E3" s="110"/>
      <c r="F3" s="110"/>
      <c r="G3" s="1"/>
    </row>
    <row r="4" spans="1:7" ht="15" customHeight="1" x14ac:dyDescent="0.3">
      <c r="A4" s="1"/>
      <c r="B4" s="110"/>
      <c r="C4" s="110"/>
      <c r="D4" s="110"/>
      <c r="E4" s="110"/>
      <c r="F4" s="110"/>
      <c r="G4" s="1"/>
    </row>
    <row r="5" spans="1:7" x14ac:dyDescent="0.3">
      <c r="A5" s="1"/>
      <c r="B5" s="110"/>
      <c r="C5" s="110"/>
      <c r="D5" s="110"/>
      <c r="E5" s="110"/>
      <c r="F5" s="110"/>
      <c r="G5" s="1"/>
    </row>
    <row r="6" spans="1:7" x14ac:dyDescent="0.3">
      <c r="A6" s="1"/>
      <c r="B6" s="1"/>
      <c r="C6" s="1"/>
      <c r="D6" s="1"/>
      <c r="E6" s="1"/>
      <c r="F6" s="1"/>
      <c r="G6" s="1"/>
    </row>
    <row r="7" spans="1:7" x14ac:dyDescent="0.3">
      <c r="A7" s="1"/>
      <c r="B7" s="1"/>
      <c r="C7" s="1"/>
      <c r="D7" s="1"/>
      <c r="E7" s="1"/>
      <c r="F7" s="1"/>
      <c r="G7" s="1"/>
    </row>
    <row r="8" spans="1:7" x14ac:dyDescent="0.3">
      <c r="A8" s="1"/>
      <c r="B8" s="112" t="s">
        <v>67</v>
      </c>
      <c r="C8" s="113"/>
      <c r="D8" s="113"/>
      <c r="E8" s="113"/>
      <c r="F8" s="114"/>
      <c r="G8" s="1"/>
    </row>
    <row r="9" spans="1:7" ht="15" customHeight="1" x14ac:dyDescent="0.3">
      <c r="A9" s="1"/>
      <c r="B9" s="31" t="s">
        <v>68</v>
      </c>
      <c r="C9" s="27" t="s">
        <v>11</v>
      </c>
      <c r="D9" s="32"/>
      <c r="E9" s="27" t="s">
        <v>27</v>
      </c>
      <c r="F9" s="32"/>
      <c r="G9" s="1"/>
    </row>
    <row r="10" spans="1:7" ht="27" x14ac:dyDescent="0.3">
      <c r="A10" s="1"/>
      <c r="B10" s="71" t="s">
        <v>221</v>
      </c>
      <c r="C10" s="9">
        <v>0</v>
      </c>
      <c r="D10" s="14" t="s">
        <v>3</v>
      </c>
      <c r="E10" s="9">
        <v>0</v>
      </c>
      <c r="F10" s="14" t="s">
        <v>3</v>
      </c>
      <c r="G10" s="1"/>
    </row>
    <row r="11" spans="1:7" ht="28.5" customHeight="1" x14ac:dyDescent="0.3">
      <c r="A11" s="1"/>
      <c r="B11" s="20" t="s">
        <v>143</v>
      </c>
      <c r="C11" s="12">
        <f>SUM(C10:C10)</f>
        <v>0</v>
      </c>
      <c r="D11" s="13" t="s">
        <v>3</v>
      </c>
      <c r="E11" s="12">
        <f>SUM(E10:E10)</f>
        <v>0</v>
      </c>
      <c r="F11" s="13" t="s">
        <v>3</v>
      </c>
      <c r="G11" s="1"/>
    </row>
    <row r="12" spans="1:7" ht="27" customHeight="1" x14ac:dyDescent="0.3">
      <c r="A12" s="1"/>
      <c r="B12" s="20" t="s">
        <v>183</v>
      </c>
      <c r="C12" s="12">
        <f>C11*(1+'Fane 15. Nøgletal'!C10)</f>
        <v>0</v>
      </c>
      <c r="D12" s="13" t="s">
        <v>3</v>
      </c>
      <c r="E12" s="12">
        <f>E11*(1+'Fane 15. Nøgletal'!C10)</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hidden="1" x14ac:dyDescent="0.3"/>
    <row r="47" spans="1:7" hidden="1" x14ac:dyDescent="0.3"/>
  </sheetData>
  <sheetProtection algorithmName="SHA-512" hashValue="v15JSERwYW4YamL0B21ocoKW7vA/oN5uiNoacK5I7loNjV0tfNTJBSclOQzj98yBPEC8Aw9/8Q467wgf5RsKjA==" saltValue="kO9rJyzCCoV0p0yO1I0mf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4.4" zeroHeight="1" x14ac:dyDescent="0.3"/>
  <cols>
    <col min="1" max="1" width="5.10937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1093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10" t="s">
        <v>119</v>
      </c>
      <c r="C3" s="110"/>
      <c r="D3" s="110"/>
      <c r="E3" s="110"/>
      <c r="F3" s="110"/>
      <c r="G3" s="1"/>
    </row>
    <row r="4" spans="1:7" ht="15" customHeight="1" x14ac:dyDescent="0.3">
      <c r="A4" s="1"/>
      <c r="B4" s="110"/>
      <c r="C4" s="110"/>
      <c r="D4" s="110"/>
      <c r="E4" s="110"/>
      <c r="F4" s="110"/>
      <c r="G4" s="1"/>
    </row>
    <row r="5" spans="1:7" x14ac:dyDescent="0.3">
      <c r="A5" s="1"/>
      <c r="B5" s="110"/>
      <c r="C5" s="110"/>
      <c r="D5" s="110"/>
      <c r="E5" s="110"/>
      <c r="F5" s="110"/>
      <c r="G5" s="1"/>
    </row>
    <row r="6" spans="1:7" x14ac:dyDescent="0.3">
      <c r="A6" s="1"/>
      <c r="B6" s="1"/>
      <c r="C6" s="1"/>
      <c r="D6" s="1"/>
      <c r="E6" s="1"/>
      <c r="F6" s="1"/>
      <c r="G6" s="1"/>
    </row>
    <row r="7" spans="1:7" x14ac:dyDescent="0.3">
      <c r="A7" s="1"/>
      <c r="B7" s="1"/>
      <c r="C7" s="1"/>
      <c r="D7" s="1"/>
      <c r="E7" s="1"/>
      <c r="F7" s="1"/>
      <c r="G7" s="1"/>
    </row>
    <row r="8" spans="1:7" ht="15" customHeight="1" x14ac:dyDescent="0.3">
      <c r="A8" s="1"/>
      <c r="B8" s="112" t="s">
        <v>184</v>
      </c>
      <c r="C8" s="113"/>
      <c r="D8" s="113"/>
      <c r="E8" s="113"/>
      <c r="F8" s="114"/>
      <c r="G8" s="1"/>
    </row>
    <row r="9" spans="1:7" x14ac:dyDescent="0.3">
      <c r="A9" s="1"/>
      <c r="B9" s="31" t="s">
        <v>18</v>
      </c>
      <c r="C9" s="132" t="s">
        <v>11</v>
      </c>
      <c r="D9" s="133"/>
      <c r="E9" s="132" t="s">
        <v>27</v>
      </c>
      <c r="F9" s="133"/>
      <c r="G9" s="1"/>
    </row>
    <row r="10" spans="1:7" x14ac:dyDescent="0.3">
      <c r="A10" s="1"/>
      <c r="B10" s="71" t="s">
        <v>222</v>
      </c>
      <c r="C10" s="9">
        <v>0</v>
      </c>
      <c r="D10" s="14" t="s">
        <v>3</v>
      </c>
      <c r="E10" s="9">
        <v>0</v>
      </c>
      <c r="F10" s="14" t="s">
        <v>3</v>
      </c>
      <c r="G10" s="1"/>
    </row>
    <row r="11" spans="1:7" x14ac:dyDescent="0.3">
      <c r="A11" s="1"/>
      <c r="B11" s="33" t="s">
        <v>144</v>
      </c>
      <c r="C11" s="12">
        <f>SUM(C10:C10)</f>
        <v>0</v>
      </c>
      <c r="D11" s="13" t="s">
        <v>3</v>
      </c>
      <c r="E11" s="12">
        <f>SUM(E10:E10)</f>
        <v>0</v>
      </c>
      <c r="F11" s="13" t="s">
        <v>3</v>
      </c>
      <c r="G11" s="1"/>
    </row>
    <row r="12" spans="1:7" x14ac:dyDescent="0.3">
      <c r="A12" s="1"/>
      <c r="B12" s="33" t="s">
        <v>215</v>
      </c>
      <c r="C12" s="12">
        <f>C11*(1+'Fane 15. Nøgletal'!C10)^2</f>
        <v>0</v>
      </c>
      <c r="D12" s="13" t="s">
        <v>3</v>
      </c>
      <c r="E12" s="12">
        <f>E11*(1+'Fane 15. Nøgletal'!C10)^2</f>
        <v>0</v>
      </c>
      <c r="F12" s="13" t="s">
        <v>3</v>
      </c>
      <c r="G12" s="1"/>
    </row>
    <row r="13" spans="1:7" x14ac:dyDescent="0.3">
      <c r="A13" s="1"/>
      <c r="B13" s="1"/>
      <c r="C13" s="1"/>
      <c r="D13" s="1"/>
      <c r="E13" s="1"/>
      <c r="F13" s="1"/>
      <c r="G13" s="1"/>
    </row>
    <row r="14" spans="1:7" x14ac:dyDescent="0.3">
      <c r="A14" s="1"/>
      <c r="B14" s="131"/>
      <c r="C14" s="131"/>
      <c r="D14" s="131"/>
      <c r="E14" s="131"/>
      <c r="F14" s="131"/>
      <c r="G14" s="1"/>
    </row>
    <row r="15" spans="1:7" x14ac:dyDescent="0.3">
      <c r="A15" s="1"/>
      <c r="B15" s="48"/>
      <c r="C15" s="48"/>
      <c r="D15" s="48"/>
      <c r="E15" s="48"/>
      <c r="F15" s="48"/>
      <c r="G15" s="1"/>
    </row>
    <row r="16" spans="1:7" x14ac:dyDescent="0.3">
      <c r="A16" s="1"/>
      <c r="B16" s="49"/>
      <c r="C16" s="52"/>
      <c r="D16" s="51"/>
      <c r="E16" s="52"/>
      <c r="F16" s="51"/>
      <c r="G16" s="1"/>
    </row>
    <row r="17" spans="1:7" x14ac:dyDescent="0.3">
      <c r="A17" s="1"/>
      <c r="B17" s="49"/>
      <c r="C17" s="52"/>
      <c r="D17" s="51"/>
      <c r="E17" s="52"/>
      <c r="F17" s="51"/>
      <c r="G17" s="1"/>
    </row>
    <row r="18" spans="1:7" x14ac:dyDescent="0.3">
      <c r="A18" s="1"/>
      <c r="B18" s="53"/>
      <c r="C18" s="54"/>
      <c r="D18" s="55"/>
      <c r="E18" s="54"/>
      <c r="F18" s="55"/>
      <c r="G18" s="1"/>
    </row>
    <row r="19" spans="1:7" x14ac:dyDescent="0.3">
      <c r="A19" s="1"/>
      <c r="B19" s="53"/>
      <c r="C19" s="54"/>
      <c r="D19" s="55"/>
      <c r="E19" s="54"/>
      <c r="F19" s="55"/>
      <c r="G19" s="1"/>
    </row>
    <row r="20" spans="1:7" x14ac:dyDescent="0.3">
      <c r="A20" s="1"/>
      <c r="B20" s="46"/>
      <c r="C20" s="46"/>
      <c r="D20" s="46"/>
      <c r="E20" s="46"/>
      <c r="F20" s="46"/>
      <c r="G20" s="1"/>
    </row>
    <row r="21" spans="1:7" x14ac:dyDescent="0.3">
      <c r="A21" s="1"/>
      <c r="B21" s="131"/>
      <c r="C21" s="131"/>
      <c r="D21" s="131"/>
      <c r="E21" s="131"/>
      <c r="F21" s="131"/>
      <c r="G21" s="1"/>
    </row>
    <row r="22" spans="1:7" x14ac:dyDescent="0.3">
      <c r="A22" s="1"/>
      <c r="B22" s="48"/>
      <c r="C22" s="48"/>
      <c r="D22" s="48"/>
      <c r="E22" s="48"/>
      <c r="F22" s="48"/>
      <c r="G22" s="1"/>
    </row>
    <row r="23" spans="1:7" x14ac:dyDescent="0.3">
      <c r="A23" s="1"/>
      <c r="B23" s="49"/>
      <c r="C23" s="52"/>
      <c r="D23" s="51"/>
      <c r="E23" s="52"/>
      <c r="F23" s="51"/>
      <c r="G23" s="1"/>
    </row>
    <row r="24" spans="1:7" x14ac:dyDescent="0.3">
      <c r="A24" s="1"/>
      <c r="B24" s="53"/>
      <c r="C24" s="54"/>
      <c r="D24" s="55"/>
      <c r="E24" s="54"/>
      <c r="F24" s="55"/>
      <c r="G24" s="1"/>
    </row>
    <row r="25" spans="1:7" x14ac:dyDescent="0.3">
      <c r="A25" s="1"/>
      <c r="B25" s="53"/>
      <c r="C25" s="54"/>
      <c r="D25" s="55"/>
      <c r="E25" s="54"/>
      <c r="F25" s="55"/>
      <c r="G25" s="1"/>
    </row>
    <row r="26" spans="1:7" x14ac:dyDescent="0.3">
      <c r="A26" s="1"/>
      <c r="B26" s="46"/>
      <c r="C26" s="46"/>
      <c r="D26" s="46"/>
      <c r="E26" s="46"/>
      <c r="F26" s="46"/>
      <c r="G26" s="1"/>
    </row>
    <row r="27" spans="1:7" x14ac:dyDescent="0.3">
      <c r="A27" s="1"/>
      <c r="B27" s="131"/>
      <c r="C27" s="131"/>
      <c r="D27" s="131"/>
      <c r="E27" s="131"/>
      <c r="F27" s="131"/>
      <c r="G27" s="1"/>
    </row>
    <row r="28" spans="1:7" x14ac:dyDescent="0.3">
      <c r="A28" s="1"/>
      <c r="B28" s="48"/>
      <c r="C28" s="48"/>
      <c r="D28" s="48"/>
      <c r="E28" s="48"/>
      <c r="F28" s="48"/>
      <c r="G28" s="1"/>
    </row>
    <row r="29" spans="1:7" x14ac:dyDescent="0.3">
      <c r="A29" s="1"/>
      <c r="B29" s="49"/>
      <c r="C29" s="52"/>
      <c r="D29" s="51"/>
      <c r="E29" s="52"/>
      <c r="F29" s="51"/>
      <c r="G29" s="1"/>
    </row>
    <row r="30" spans="1:7" x14ac:dyDescent="0.3">
      <c r="A30" s="1"/>
      <c r="B30" s="53"/>
      <c r="C30" s="54"/>
      <c r="D30" s="55"/>
      <c r="E30" s="54"/>
      <c r="F30" s="55"/>
      <c r="G30" s="1"/>
    </row>
    <row r="31" spans="1:7" x14ac:dyDescent="0.3">
      <c r="A31" s="1"/>
      <c r="B31" s="53"/>
      <c r="C31" s="54"/>
      <c r="D31" s="55"/>
      <c r="E31" s="54"/>
      <c r="F31" s="55"/>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4nz5j9NLDtDCbhWJJsnx8WNAIf73sldUhnvulGHhgD675ShXM1fyLkucYs+vXwV1WDLCI5mLyvKS5Tt86a2R3Q==" saltValue="QG+x3LWLJ/9NcCvR4usS1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156</v>
      </c>
      <c r="C3" s="105"/>
      <c r="D3" s="105"/>
      <c r="E3" s="1"/>
    </row>
    <row r="4" spans="1:5" ht="15" customHeight="1" x14ac:dyDescent="0.3">
      <c r="A4" s="1"/>
      <c r="B4" s="105"/>
      <c r="C4" s="105"/>
      <c r="D4" s="105"/>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x14ac:dyDescent="0.3">
      <c r="A9" s="1"/>
      <c r="B9" s="29" t="s">
        <v>91</v>
      </c>
      <c r="C9" s="7">
        <f>'Fane 3. Omkostninger i ØR2024'!C20</f>
        <v>58234031.954268739</v>
      </c>
      <c r="D9" s="8" t="s">
        <v>3</v>
      </c>
      <c r="E9" s="1"/>
    </row>
    <row r="10" spans="1:5" ht="17.25" customHeight="1" x14ac:dyDescent="0.3">
      <c r="A10" s="1"/>
      <c r="B10" s="65" t="s">
        <v>35</v>
      </c>
      <c r="C10" s="7">
        <f>'Fane 11.1. Varige tillæg'!C20</f>
        <v>1470752.9214999999</v>
      </c>
      <c r="D10" s="8" t="s">
        <v>3</v>
      </c>
      <c r="E10" s="1"/>
    </row>
    <row r="11" spans="1:5" ht="17.25" customHeight="1" x14ac:dyDescent="0.3">
      <c r="A11" s="1"/>
      <c r="B11" s="65" t="s">
        <v>36</v>
      </c>
      <c r="C11" s="9">
        <f>'Fane 11.1. Varige tillæg'!E20</f>
        <v>338914.92460000003</v>
      </c>
      <c r="D11" s="8" t="s">
        <v>3</v>
      </c>
      <c r="E11" s="1"/>
    </row>
    <row r="12" spans="1:5" ht="17.25" customHeight="1" x14ac:dyDescent="0.3">
      <c r="A12" s="1"/>
      <c r="B12" s="65" t="s">
        <v>25</v>
      </c>
      <c r="C12" s="9">
        <f>-'Fane 14. Bortfald'!C12</f>
        <v>0</v>
      </c>
      <c r="D12" s="8" t="s">
        <v>3</v>
      </c>
      <c r="E12" s="1"/>
    </row>
    <row r="13" spans="1:5" ht="17.25" customHeight="1" x14ac:dyDescent="0.3">
      <c r="A13" s="1"/>
      <c r="B13" s="65" t="s">
        <v>24</v>
      </c>
      <c r="C13" s="9">
        <f>-'Fane 14. Bortfald'!E12</f>
        <v>0</v>
      </c>
      <c r="D13" s="8" t="s">
        <v>3</v>
      </c>
      <c r="E13" s="1"/>
    </row>
    <row r="14" spans="1:5" ht="17.25" customHeight="1" x14ac:dyDescent="0.3">
      <c r="A14" s="1"/>
      <c r="B14" s="65" t="s">
        <v>63</v>
      </c>
      <c r="C14" s="9">
        <f>'Fane 13. Tilknyttet virksomhed'!C12</f>
        <v>0</v>
      </c>
      <c r="D14" s="8" t="s">
        <v>3</v>
      </c>
      <c r="E14" s="1"/>
    </row>
    <row r="15" spans="1:5" ht="17.25" customHeight="1" x14ac:dyDescent="0.3">
      <c r="A15" s="1"/>
      <c r="B15" s="65" t="s">
        <v>64</v>
      </c>
      <c r="C15" s="9">
        <f>'Fane 13. Tilknyttet virksomhed'!E12</f>
        <v>0</v>
      </c>
      <c r="D15" s="8" t="s">
        <v>3</v>
      </c>
      <c r="E15" s="1"/>
    </row>
    <row r="16" spans="1:5" ht="17.25" customHeight="1" x14ac:dyDescent="0.3">
      <c r="A16" s="1"/>
      <c r="B16" s="65" t="s">
        <v>19</v>
      </c>
      <c r="C16" s="38">
        <f>SUM(C9)*'Fane 15. Nøgletal'!C9+SUM(C10:C11,C14:C15)*'Fane 15. Nøgletal'!C10</f>
        <v>4825290.7601013435</v>
      </c>
      <c r="D16" s="8" t="s">
        <v>3</v>
      </c>
      <c r="E16" s="1"/>
    </row>
    <row r="17" spans="1:5" ht="17.25" customHeight="1" x14ac:dyDescent="0.3">
      <c r="A17" s="1"/>
      <c r="B17" s="65" t="s">
        <v>10</v>
      </c>
      <c r="C17" s="38">
        <f>-SUM(C9,C10:C16)*'Fane 5. Individuelt eff. krav'!C9</f>
        <v>0</v>
      </c>
      <c r="D17" s="8" t="s">
        <v>3</v>
      </c>
      <c r="E17" s="1"/>
    </row>
    <row r="18" spans="1:5" ht="17.25" customHeight="1" x14ac:dyDescent="0.3">
      <c r="A18" s="1"/>
      <c r="B18" s="65" t="s">
        <v>22</v>
      </c>
      <c r="C18" s="38">
        <f>-'Fane 4.1. Gen. krav - drift'!C17</f>
        <v>-496837.43051870528</v>
      </c>
      <c r="D18" s="8" t="s">
        <v>3</v>
      </c>
      <c r="E18" s="1"/>
    </row>
    <row r="19" spans="1:5" ht="17.25" customHeight="1" x14ac:dyDescent="0.3">
      <c r="A19" s="1"/>
      <c r="B19" s="65" t="s">
        <v>23</v>
      </c>
      <c r="C19" s="38">
        <f>-'Fane 4.2. Gen. krav - anlæg'!C17</f>
        <v>0</v>
      </c>
      <c r="D19" s="8" t="s">
        <v>3</v>
      </c>
      <c r="E19" s="43"/>
    </row>
    <row r="20" spans="1:5" ht="17.25" customHeight="1" x14ac:dyDescent="0.3">
      <c r="A20" s="1"/>
      <c r="B20" s="83" t="s">
        <v>21</v>
      </c>
      <c r="C20" s="10">
        <f>SUM(C9:C19)</f>
        <v>64372153.129951373</v>
      </c>
      <c r="D20" s="11" t="s">
        <v>3</v>
      </c>
      <c r="E20" s="1"/>
    </row>
    <row r="21" spans="1:5" ht="15" customHeight="1" x14ac:dyDescent="0.3">
      <c r="A21" s="1"/>
      <c r="B21" s="33" t="s">
        <v>12</v>
      </c>
      <c r="C21" s="28"/>
      <c r="D21" s="19"/>
      <c r="E21" s="1"/>
    </row>
    <row r="22" spans="1:5" ht="15" customHeight="1" x14ac:dyDescent="0.3">
      <c r="A22" s="1"/>
      <c r="B22" s="31" t="s">
        <v>12</v>
      </c>
      <c r="C22" s="10">
        <f>'Fane 6. Ikke-påvirkelige omk.'!C20+'Fane 6. Ikke-påvirkelige omk.'!C24+'Fane 6. Ikke-påvirkelige omk.'!C32</f>
        <v>12449730.80442391</v>
      </c>
      <c r="D22" s="11" t="s">
        <v>3</v>
      </c>
      <c r="E22" s="1"/>
    </row>
    <row r="23" spans="1:5" ht="15" customHeight="1" x14ac:dyDescent="0.3">
      <c r="A23" s="1"/>
      <c r="B23" s="33" t="s">
        <v>43</v>
      </c>
      <c r="C23" s="28"/>
      <c r="D23" s="19"/>
      <c r="E23" s="1"/>
    </row>
    <row r="24" spans="1:5" ht="15" customHeight="1" x14ac:dyDescent="0.3">
      <c r="A24" s="1"/>
      <c r="B24" s="83" t="s">
        <v>43</v>
      </c>
      <c r="C24" s="10">
        <f>'Fane 12. Periodevise driftsomk.'!C12</f>
        <v>0</v>
      </c>
      <c r="D24" s="11" t="s">
        <v>3</v>
      </c>
      <c r="E24" s="1"/>
    </row>
    <row r="25" spans="1:5" ht="15" customHeight="1" x14ac:dyDescent="0.3">
      <c r="A25" s="1"/>
      <c r="B25" s="41" t="s">
        <v>42</v>
      </c>
      <c r="C25" s="39"/>
      <c r="D25" s="40"/>
      <c r="E25" s="1"/>
    </row>
    <row r="26" spans="1:5" ht="15" customHeight="1" x14ac:dyDescent="0.3">
      <c r="A26" s="1"/>
      <c r="B26" s="65" t="s">
        <v>90</v>
      </c>
      <c r="C26" s="38">
        <f>'Fane 11.2. Engangstillæg'!C14</f>
        <v>0</v>
      </c>
      <c r="D26" s="8" t="s">
        <v>3</v>
      </c>
      <c r="E26" s="1"/>
    </row>
    <row r="27" spans="1:5" ht="15" customHeight="1" x14ac:dyDescent="0.3">
      <c r="A27" s="1"/>
      <c r="B27" s="65" t="s">
        <v>39</v>
      </c>
      <c r="C27" s="38">
        <f>'Fane 11.2. Engangstillæg'!E14</f>
        <v>0</v>
      </c>
      <c r="D27" s="8" t="s">
        <v>3</v>
      </c>
      <c r="E27" s="1"/>
    </row>
    <row r="28" spans="1:5" ht="15" customHeight="1" x14ac:dyDescent="0.3">
      <c r="A28" s="1"/>
      <c r="B28" s="65" t="s">
        <v>93</v>
      </c>
      <c r="C28" s="38">
        <f>-C26*('Fane 15. Nøgletal'!C21+'Fane 5. Individuelt eff. krav'!C9)</f>
        <v>0</v>
      </c>
      <c r="D28" s="8" t="s">
        <v>3</v>
      </c>
      <c r="E28" s="1"/>
    </row>
    <row r="29" spans="1:5" ht="15" customHeight="1" x14ac:dyDescent="0.3">
      <c r="A29" s="1"/>
      <c r="B29" s="65" t="s">
        <v>94</v>
      </c>
      <c r="C29" s="38">
        <f>-C27*('Fane 15. Nøgletal'!C16+'Fane 5. Individuelt eff. krav'!C9)</f>
        <v>0</v>
      </c>
      <c r="D29" s="8" t="s">
        <v>3</v>
      </c>
      <c r="E29" s="1"/>
    </row>
    <row r="30" spans="1:5" ht="15" customHeight="1" x14ac:dyDescent="0.3">
      <c r="A30" s="1"/>
      <c r="B30" s="68" t="s">
        <v>44</v>
      </c>
      <c r="C30" s="10">
        <f>SUM(C26:C29)</f>
        <v>0</v>
      </c>
      <c r="D30" s="11" t="s">
        <v>3</v>
      </c>
      <c r="E30" s="1"/>
    </row>
    <row r="31" spans="1:5" x14ac:dyDescent="0.3">
      <c r="A31" s="1"/>
      <c r="B31" s="33" t="s">
        <v>70</v>
      </c>
      <c r="C31" s="28"/>
      <c r="D31" s="19"/>
      <c r="E31" s="1"/>
    </row>
    <row r="32" spans="1:5" x14ac:dyDescent="0.3">
      <c r="A32" s="1"/>
      <c r="B32" s="31" t="s">
        <v>80</v>
      </c>
      <c r="C32" s="62">
        <f>'Fane 7. Kontrol af ØR2023'!C27</f>
        <v>-2894945.0128748715</v>
      </c>
      <c r="D32" s="11" t="s">
        <v>3</v>
      </c>
      <c r="E32" s="1"/>
    </row>
    <row r="33" spans="1:5" ht="15" customHeight="1" x14ac:dyDescent="0.3">
      <c r="A33" s="1"/>
      <c r="B33" s="33" t="s">
        <v>155</v>
      </c>
      <c r="C33" s="28"/>
      <c r="D33" s="19"/>
      <c r="E33" s="1"/>
    </row>
    <row r="34" spans="1:5" x14ac:dyDescent="0.3">
      <c r="A34" s="1"/>
      <c r="B34" s="31" t="s">
        <v>155</v>
      </c>
      <c r="C34" s="10">
        <f>'Fane 9. Korrektion af ØR2023'!C16</f>
        <v>-596009</v>
      </c>
      <c r="D34" s="11" t="s">
        <v>3</v>
      </c>
      <c r="E34" s="1"/>
    </row>
    <row r="35" spans="1:5" x14ac:dyDescent="0.3">
      <c r="A35" s="1"/>
      <c r="B35" s="30" t="s">
        <v>76</v>
      </c>
      <c r="C35" s="28"/>
      <c r="D35" s="19"/>
      <c r="E35" s="1"/>
    </row>
    <row r="36" spans="1:5" x14ac:dyDescent="0.3">
      <c r="A36" s="1"/>
      <c r="B36" s="68" t="s">
        <v>77</v>
      </c>
      <c r="C36" s="10">
        <f>'Fane 8. Skattesagen'!C14</f>
        <v>0</v>
      </c>
      <c r="D36" s="11" t="s">
        <v>3</v>
      </c>
      <c r="E36" s="1"/>
    </row>
    <row r="37" spans="1:5" x14ac:dyDescent="0.3">
      <c r="A37" s="1"/>
      <c r="B37" s="33" t="s">
        <v>72</v>
      </c>
      <c r="C37" s="45">
        <f>SUM(C34,C32,C24,C30,C22,C20,C36)</f>
        <v>73330929.921500415</v>
      </c>
      <c r="D37" s="30" t="s">
        <v>3</v>
      </c>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sheetData>
  <sheetProtection algorithmName="SHA-512" hashValue="uvNJbopHOZIcUR/4ENPQaCTY/OiADPr0ztP6c95eVDoCZjMQEgleCRCUlUCaNkNG38goC0AsY2VLN2i3lojjiw==" saltValue="IjO/cdLR7NLFbtmpaaTG6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664062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10" t="s">
        <v>120</v>
      </c>
      <c r="C3" s="110"/>
      <c r="D3" s="1"/>
    </row>
    <row r="4" spans="1:4" ht="15" customHeight="1" x14ac:dyDescent="0.3">
      <c r="A4" s="1"/>
      <c r="B4" s="110"/>
      <c r="C4" s="110"/>
      <c r="D4" s="1"/>
    </row>
    <row r="5" spans="1:4" ht="15" customHeight="1" x14ac:dyDescent="0.3">
      <c r="A5" s="1"/>
      <c r="B5" s="1"/>
      <c r="C5" s="1"/>
      <c r="D5" s="1"/>
    </row>
    <row r="6" spans="1:4" x14ac:dyDescent="0.3">
      <c r="A6" s="1"/>
      <c r="B6" s="1"/>
      <c r="C6" s="1"/>
      <c r="D6" s="1"/>
    </row>
    <row r="7" spans="1:4" x14ac:dyDescent="0.3">
      <c r="A7" s="1"/>
      <c r="B7" s="1"/>
      <c r="C7" s="1"/>
      <c r="D7" s="1"/>
    </row>
    <row r="8" spans="1:4" x14ac:dyDescent="0.3">
      <c r="A8" s="1"/>
      <c r="B8" s="33" t="s">
        <v>14</v>
      </c>
      <c r="C8" s="19"/>
      <c r="D8" s="1"/>
    </row>
    <row r="9" spans="1:4" x14ac:dyDescent="0.3">
      <c r="A9" s="1"/>
      <c r="B9" s="59" t="s">
        <v>123</v>
      </c>
      <c r="C9" s="61">
        <v>8.0799999999999997E-2</v>
      </c>
      <c r="D9" s="1"/>
    </row>
    <row r="10" spans="1:4" x14ac:dyDescent="0.3">
      <c r="A10" s="1"/>
      <c r="B10" s="59" t="s">
        <v>227</v>
      </c>
      <c r="C10" s="61">
        <v>6.6299999999999998E-2</v>
      </c>
      <c r="D10" s="1"/>
    </row>
    <row r="11" spans="1:4" x14ac:dyDescent="0.3">
      <c r="A11" s="1"/>
      <c r="B11" s="33"/>
      <c r="C11" s="19"/>
      <c r="D11" s="1"/>
    </row>
    <row r="12" spans="1:4" x14ac:dyDescent="0.3">
      <c r="A12" s="1"/>
      <c r="B12" s="1"/>
      <c r="C12" s="1"/>
      <c r="D12" s="1"/>
    </row>
    <row r="13" spans="1:4" x14ac:dyDescent="0.3">
      <c r="A13" s="1"/>
      <c r="B13" s="1"/>
      <c r="C13" s="1"/>
      <c r="D13" s="1"/>
    </row>
    <row r="14" spans="1:4" x14ac:dyDescent="0.3">
      <c r="A14" s="1"/>
      <c r="B14" s="33" t="s">
        <v>51</v>
      </c>
      <c r="C14" s="19"/>
      <c r="D14" s="1"/>
    </row>
    <row r="15" spans="1:4" x14ac:dyDescent="0.3">
      <c r="A15" s="1"/>
      <c r="B15" s="59" t="s">
        <v>214</v>
      </c>
      <c r="C15" s="60">
        <v>0</v>
      </c>
      <c r="D15" s="1"/>
    </row>
    <row r="16" spans="1:4" x14ac:dyDescent="0.3">
      <c r="A16" s="1"/>
      <c r="B16" s="59" t="s">
        <v>228</v>
      </c>
      <c r="C16" s="22">
        <v>0</v>
      </c>
      <c r="D16" s="1"/>
    </row>
    <row r="17" spans="1:4" x14ac:dyDescent="0.3">
      <c r="A17" s="1"/>
      <c r="B17" s="33"/>
      <c r="C17" s="19"/>
      <c r="D17" s="1"/>
    </row>
    <row r="18" spans="1:4" x14ac:dyDescent="0.3">
      <c r="A18" s="1"/>
      <c r="B18" s="1"/>
      <c r="C18" s="1"/>
      <c r="D18" s="1"/>
    </row>
    <row r="19" spans="1:4" x14ac:dyDescent="0.3">
      <c r="A19" s="1"/>
      <c r="B19" s="1"/>
      <c r="C19" s="1"/>
      <c r="D19" s="1"/>
    </row>
    <row r="20" spans="1:4" x14ac:dyDescent="0.3">
      <c r="A20" s="1"/>
      <c r="B20" s="33" t="s">
        <v>52</v>
      </c>
      <c r="C20" s="19"/>
      <c r="D20" s="1"/>
    </row>
    <row r="21" spans="1:4" x14ac:dyDescent="0.3">
      <c r="A21" s="1"/>
      <c r="B21" s="37" t="s">
        <v>60</v>
      </c>
      <c r="C21" s="25">
        <v>0.02</v>
      </c>
      <c r="D21" s="1"/>
    </row>
    <row r="22" spans="1:4" x14ac:dyDescent="0.3">
      <c r="A22" s="1"/>
      <c r="B22" s="33"/>
      <c r="C22" s="19"/>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hidden="1" x14ac:dyDescent="0.3"/>
  </sheetData>
  <sheetProtection algorithmName="SHA-512" hashValue="3IFwIZYrGAqRecgye4RYIVKYRsBWZ1JaW4SYPPXUoF5r7VikwdFHtvc0Y15vyYeGPyW2y2Sh+8Fo5lLZ5dGCjw==" saltValue="aL7341GLn21rn9RnmPmFo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157</v>
      </c>
      <c r="C3" s="105"/>
      <c r="D3" s="105"/>
      <c r="E3" s="1"/>
    </row>
    <row r="4" spans="1:5" ht="15" customHeight="1" x14ac:dyDescent="0.3">
      <c r="A4" s="1"/>
      <c r="B4" s="105"/>
      <c r="C4" s="105"/>
      <c r="D4" s="105"/>
      <c r="E4" s="1"/>
    </row>
    <row r="5" spans="1:5" x14ac:dyDescent="0.3">
      <c r="A5" s="1"/>
      <c r="B5" s="106" t="s">
        <v>145</v>
      </c>
      <c r="C5" s="106"/>
      <c r="D5" s="106"/>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ht="15" customHeight="1" x14ac:dyDescent="0.3">
      <c r="A9" s="1"/>
      <c r="B9" s="29" t="s">
        <v>81</v>
      </c>
      <c r="C9" s="7">
        <f>'Fane 2.1. Økonomisk ramme 2025'!C20</f>
        <v>64372153.129951373</v>
      </c>
      <c r="D9" s="8" t="s">
        <v>3</v>
      </c>
      <c r="E9" s="1"/>
    </row>
    <row r="10" spans="1:5" ht="15" customHeight="1" x14ac:dyDescent="0.3">
      <c r="A10" s="1"/>
      <c r="B10" s="26" t="s">
        <v>19</v>
      </c>
      <c r="C10" s="7">
        <f>C9*'Fane 15. Nøgletal'!C10</f>
        <v>4267873.7525157761</v>
      </c>
      <c r="D10" s="8" t="s">
        <v>3</v>
      </c>
      <c r="E10" s="1"/>
    </row>
    <row r="11" spans="1:5" ht="15" customHeight="1" x14ac:dyDescent="0.3">
      <c r="A11" s="1"/>
      <c r="B11" s="26" t="s">
        <v>10</v>
      </c>
      <c r="C11" s="9">
        <f>-SUM(C9:C10)*'Fane 5. Individuelt eff. krav'!C9</f>
        <v>0</v>
      </c>
      <c r="D11" s="8" t="s">
        <v>3</v>
      </c>
      <c r="E11" s="1"/>
    </row>
    <row r="12" spans="1:5" ht="15" customHeight="1" x14ac:dyDescent="0.3">
      <c r="A12" s="1"/>
      <c r="B12" s="26" t="s">
        <v>22</v>
      </c>
      <c r="C12" s="9">
        <f>-'Fane 4.1. Gen. krav - drift'!C22</f>
        <v>-519182.19711885357</v>
      </c>
      <c r="D12" s="8" t="s">
        <v>3</v>
      </c>
      <c r="E12" s="1"/>
    </row>
    <row r="13" spans="1:5" ht="15" customHeight="1" x14ac:dyDescent="0.3">
      <c r="A13" s="1"/>
      <c r="B13" s="26" t="s">
        <v>23</v>
      </c>
      <c r="C13" s="9">
        <f>-'Fane 4.2. Gen. krav - anlæg'!C22</f>
        <v>0</v>
      </c>
      <c r="D13" s="8" t="s">
        <v>3</v>
      </c>
      <c r="E13" s="1"/>
    </row>
    <row r="14" spans="1:5" ht="15" customHeight="1" x14ac:dyDescent="0.3">
      <c r="A14" s="1"/>
      <c r="B14" s="27" t="s">
        <v>21</v>
      </c>
      <c r="C14" s="10">
        <f>SUM(C9:C13)</f>
        <v>68120844.685348302</v>
      </c>
      <c r="D14" s="11" t="s">
        <v>3</v>
      </c>
      <c r="E14" s="1"/>
    </row>
    <row r="15" spans="1:5" x14ac:dyDescent="0.3">
      <c r="A15" s="1"/>
      <c r="B15" s="33" t="s">
        <v>12</v>
      </c>
      <c r="C15" s="28"/>
      <c r="D15" s="19"/>
      <c r="E15" s="1"/>
    </row>
    <row r="16" spans="1:5" ht="15" customHeight="1" x14ac:dyDescent="0.3">
      <c r="A16" s="1"/>
      <c r="B16" s="31" t="s">
        <v>12</v>
      </c>
      <c r="C16" s="10">
        <f>'Fane 6. Ikke-påvirkelige omk.'!C20*(1+'Fane 15. Nøgletal'!C10)+'Fane 6. Ikke-påvirkelige omk.'!C25+'Fane 6. Ikke-påvirkelige omk.'!C33</f>
        <v>11435893.378157215</v>
      </c>
      <c r="D16" s="11" t="s">
        <v>3</v>
      </c>
      <c r="E16" s="1"/>
    </row>
    <row r="17" spans="1:5" ht="15" customHeight="1" x14ac:dyDescent="0.3">
      <c r="A17" s="1"/>
      <c r="B17" s="33" t="s">
        <v>43</v>
      </c>
      <c r="C17" s="28"/>
      <c r="D17" s="19"/>
      <c r="E17" s="1"/>
    </row>
    <row r="18" spans="1:5" ht="15" customHeight="1" x14ac:dyDescent="0.3">
      <c r="A18" s="1"/>
      <c r="B18" s="83" t="s">
        <v>43</v>
      </c>
      <c r="C18" s="10">
        <f>'Fane 12. Periodevise driftsomk.'!C18</f>
        <v>0</v>
      </c>
      <c r="D18" s="11" t="s">
        <v>3</v>
      </c>
      <c r="E18" s="1"/>
    </row>
    <row r="19" spans="1:5" x14ac:dyDescent="0.3">
      <c r="A19" s="1"/>
      <c r="B19" s="33" t="s">
        <v>70</v>
      </c>
      <c r="C19" s="28"/>
      <c r="D19" s="19"/>
      <c r="E19" s="1"/>
    </row>
    <row r="20" spans="1:5" ht="15" customHeight="1" x14ac:dyDescent="0.3">
      <c r="A20" s="1"/>
      <c r="B20" s="31" t="s">
        <v>80</v>
      </c>
      <c r="C20" s="10">
        <f>'Fane 7. Kontrol af ØR2023'!C33</f>
        <v>0</v>
      </c>
      <c r="D20" s="11" t="s">
        <v>3</v>
      </c>
      <c r="E20" s="1"/>
    </row>
    <row r="21" spans="1:5" x14ac:dyDescent="0.3">
      <c r="A21" s="1"/>
      <c r="B21" s="30" t="s">
        <v>76</v>
      </c>
      <c r="C21" s="28"/>
      <c r="D21" s="19"/>
      <c r="E21" s="1"/>
    </row>
    <row r="22" spans="1:5" x14ac:dyDescent="0.3">
      <c r="A22" s="1"/>
      <c r="B22" s="68" t="s">
        <v>77</v>
      </c>
      <c r="C22" s="10">
        <f>'Fane 8. Skattesagen'!C15</f>
        <v>0</v>
      </c>
      <c r="D22" s="11" t="s">
        <v>3</v>
      </c>
      <c r="E22" s="1"/>
    </row>
    <row r="23" spans="1:5" x14ac:dyDescent="0.3">
      <c r="A23" s="1"/>
      <c r="B23" s="33" t="s">
        <v>82</v>
      </c>
      <c r="C23" s="12">
        <f>SUM(C14,C16,C18,C20,C22)</f>
        <v>79556738.063505515</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FV4psELPqSfkF9+OG6fFVKt48RwKkq6f5oP213GVZBDhqsKJchUcPCGCTNNgWvsReTq/tAP3ecoMesryNNyVsA==" saltValue="7+lwp0F20IocDQC6ssklx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158</v>
      </c>
      <c r="C3" s="105"/>
      <c r="D3" s="105"/>
      <c r="E3" s="1"/>
    </row>
    <row r="4" spans="1:5" ht="15" customHeight="1" x14ac:dyDescent="0.3">
      <c r="A4" s="1"/>
      <c r="B4" s="105"/>
      <c r="C4" s="105"/>
      <c r="D4" s="105"/>
      <c r="E4" s="1"/>
    </row>
    <row r="5" spans="1:5" x14ac:dyDescent="0.3">
      <c r="A5" s="1"/>
      <c r="B5" s="106" t="s">
        <v>145</v>
      </c>
      <c r="C5" s="106"/>
      <c r="D5" s="106"/>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130</v>
      </c>
      <c r="C9" s="7">
        <f>'Fane 2.2. Økonomisk ramme 2026'!C14</f>
        <v>68120844.685348302</v>
      </c>
      <c r="D9" s="8" t="s">
        <v>3</v>
      </c>
      <c r="E9" s="1"/>
    </row>
    <row r="10" spans="1:5" ht="15" customHeight="1" x14ac:dyDescent="0.3">
      <c r="A10" s="1"/>
      <c r="B10" s="26" t="s">
        <v>19</v>
      </c>
      <c r="C10" s="7">
        <f>SUM(C9:C9)*'Fane 15. Nøgletal'!C10</f>
        <v>4516412.0026385924</v>
      </c>
      <c r="D10" s="8" t="s">
        <v>3</v>
      </c>
      <c r="E10" s="1"/>
    </row>
    <row r="11" spans="1:5" ht="15" customHeight="1" x14ac:dyDescent="0.3">
      <c r="A11" s="1"/>
      <c r="B11" s="26" t="s">
        <v>10</v>
      </c>
      <c r="C11" s="9">
        <f>-SUM(C9:C10)*'Fane 5. Individuelt eff. krav'!C9</f>
        <v>0</v>
      </c>
      <c r="D11" s="8" t="s">
        <v>3</v>
      </c>
      <c r="E11" s="1"/>
    </row>
    <row r="12" spans="1:5" ht="15" customHeight="1" x14ac:dyDescent="0.3">
      <c r="A12" s="1"/>
      <c r="B12" s="26" t="s">
        <v>22</v>
      </c>
      <c r="C12" s="9">
        <f>-'Fane 4.1. Gen. krav - drift'!C27</f>
        <v>-542531.897252077</v>
      </c>
      <c r="D12" s="8" t="s">
        <v>3</v>
      </c>
      <c r="E12" s="1"/>
    </row>
    <row r="13" spans="1:5" ht="15" customHeight="1" x14ac:dyDescent="0.3">
      <c r="A13" s="1"/>
      <c r="B13" s="26" t="s">
        <v>23</v>
      </c>
      <c r="C13" s="9">
        <f>-'Fane 4.2. Gen. krav - anlæg'!C27</f>
        <v>0</v>
      </c>
      <c r="D13" s="8" t="s">
        <v>3</v>
      </c>
      <c r="E13" s="1"/>
    </row>
    <row r="14" spans="1:5" x14ac:dyDescent="0.3">
      <c r="A14" s="1"/>
      <c r="B14" s="27" t="s">
        <v>21</v>
      </c>
      <c r="C14" s="10">
        <f>SUM(C9:C13)</f>
        <v>72094724.790734813</v>
      </c>
      <c r="D14" s="11" t="s">
        <v>3</v>
      </c>
      <c r="E14" s="1"/>
    </row>
    <row r="15" spans="1:5" x14ac:dyDescent="0.3">
      <c r="A15" s="1"/>
      <c r="B15" s="33" t="s">
        <v>12</v>
      </c>
      <c r="C15" s="28"/>
      <c r="D15" s="19"/>
      <c r="E15" s="1"/>
    </row>
    <row r="16" spans="1:5" ht="15" customHeight="1" x14ac:dyDescent="0.3">
      <c r="A16" s="1"/>
      <c r="B16" s="31" t="s">
        <v>12</v>
      </c>
      <c r="C16" s="10">
        <f>'Fane 6. Ikke-påvirkelige omk.'!C20*(1+'Fane 15. Nøgletal'!C10)^2+'Fane 6. Ikke-påvirkelige omk.'!C26+'Fane 6. Ikke-påvirkelige omk.'!C34</f>
        <v>11735506.884229038</v>
      </c>
      <c r="D16" s="11" t="s">
        <v>3</v>
      </c>
      <c r="E16" s="1"/>
    </row>
    <row r="17" spans="1:5" ht="15" customHeight="1" x14ac:dyDescent="0.3">
      <c r="A17" s="1"/>
      <c r="B17" s="33" t="s">
        <v>43</v>
      </c>
      <c r="C17" s="28"/>
      <c r="D17" s="19"/>
      <c r="E17" s="1"/>
    </row>
    <row r="18" spans="1:5" ht="15" customHeight="1" x14ac:dyDescent="0.3">
      <c r="A18" s="1"/>
      <c r="B18" s="83" t="s">
        <v>43</v>
      </c>
      <c r="C18" s="10">
        <f>'Fane 12. Periodevise driftsomk.'!C24</f>
        <v>0</v>
      </c>
      <c r="D18" s="11" t="s">
        <v>3</v>
      </c>
      <c r="E18" s="1"/>
    </row>
    <row r="19" spans="1:5" ht="15" customHeight="1" x14ac:dyDescent="0.3">
      <c r="A19" s="1"/>
      <c r="B19" s="33" t="s">
        <v>70</v>
      </c>
      <c r="C19" s="28"/>
      <c r="D19" s="19"/>
      <c r="E19" s="1"/>
    </row>
    <row r="20" spans="1:5" ht="15" customHeight="1" x14ac:dyDescent="0.3">
      <c r="A20" s="1"/>
      <c r="B20" s="31" t="s">
        <v>80</v>
      </c>
      <c r="C20" s="10">
        <f>'Fane 7. Kontrol af ØR2023'!C33</f>
        <v>0</v>
      </c>
      <c r="D20" s="11" t="s">
        <v>3</v>
      </c>
      <c r="E20" s="1"/>
    </row>
    <row r="21" spans="1:5" x14ac:dyDescent="0.3">
      <c r="A21" s="1"/>
      <c r="B21" s="30" t="s">
        <v>76</v>
      </c>
      <c r="C21" s="28"/>
      <c r="D21" s="19"/>
      <c r="E21" s="1"/>
    </row>
    <row r="22" spans="1:5" x14ac:dyDescent="0.3">
      <c r="A22" s="1"/>
      <c r="B22" s="68" t="s">
        <v>77</v>
      </c>
      <c r="C22" s="10">
        <f>'Fane 8. Skattesagen'!C16</f>
        <v>0</v>
      </c>
      <c r="D22" s="11" t="s">
        <v>3</v>
      </c>
      <c r="E22" s="1"/>
    </row>
    <row r="23" spans="1:5" x14ac:dyDescent="0.3">
      <c r="A23" s="1"/>
      <c r="B23" s="33" t="s">
        <v>131</v>
      </c>
      <c r="C23" s="12">
        <f>SUM(C14,C16,C18,C20,C22)</f>
        <v>83830231.674963847</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5R63jfLD+gZ9pZXIBVX9zFyRRfpSQx7Q/cq2it0wadQr1q+jK7h/vezWmm9+ji/+2VIWhd/bXbrxVxrVpcNmcA==" saltValue="vWzY4b44JTl/z2TckaleP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159</v>
      </c>
      <c r="C3" s="105"/>
      <c r="D3" s="105"/>
      <c r="E3" s="1"/>
    </row>
    <row r="4" spans="1:5" ht="15" customHeight="1" x14ac:dyDescent="0.3">
      <c r="A4" s="1"/>
      <c r="B4" s="105"/>
      <c r="C4" s="105"/>
      <c r="D4" s="105"/>
      <c r="E4" s="1"/>
    </row>
    <row r="5" spans="1:5" x14ac:dyDescent="0.3">
      <c r="A5" s="1"/>
      <c r="B5" s="106" t="s">
        <v>145</v>
      </c>
      <c r="C5" s="106"/>
      <c r="D5" s="106"/>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160</v>
      </c>
      <c r="C9" s="7">
        <f>'Fane 2.3. Økonomisk ramme 2027'!C14</f>
        <v>72094724.790734813</v>
      </c>
      <c r="D9" s="8" t="s">
        <v>3</v>
      </c>
      <c r="E9" s="1"/>
    </row>
    <row r="10" spans="1:5" ht="15" customHeight="1" x14ac:dyDescent="0.3">
      <c r="A10" s="1"/>
      <c r="B10" s="26" t="s">
        <v>19</v>
      </c>
      <c r="C10" s="7">
        <f>SUM(C9:C9)*'Fane 15. Nøgletal'!C10</f>
        <v>4779880.2536257179</v>
      </c>
      <c r="D10" s="8" t="s">
        <v>3</v>
      </c>
      <c r="E10" s="1"/>
    </row>
    <row r="11" spans="1:5" ht="15" customHeight="1" x14ac:dyDescent="0.3">
      <c r="A11" s="1"/>
      <c r="B11" s="26" t="s">
        <v>10</v>
      </c>
      <c r="C11" s="9">
        <f>-SUM(C9:C10)*'Fane 5. Individuelt eff. krav'!C9</f>
        <v>0</v>
      </c>
      <c r="D11" s="8" t="s">
        <v>3</v>
      </c>
      <c r="E11" s="1"/>
    </row>
    <row r="12" spans="1:5" ht="15" customHeight="1" x14ac:dyDescent="0.3">
      <c r="A12" s="1"/>
      <c r="B12" s="26" t="s">
        <v>22</v>
      </c>
      <c r="C12" s="9">
        <f>-'Fane 4.1. Gen. krav - drift'!C32</f>
        <v>-566931.72679909191</v>
      </c>
      <c r="D12" s="8" t="s">
        <v>3</v>
      </c>
      <c r="E12" s="1"/>
    </row>
    <row r="13" spans="1:5" ht="15" customHeight="1" x14ac:dyDescent="0.3">
      <c r="A13" s="1"/>
      <c r="B13" s="26" t="s">
        <v>23</v>
      </c>
      <c r="C13" s="9">
        <f>-'Fane 4.2. Gen. krav - anlæg'!C32</f>
        <v>0</v>
      </c>
      <c r="D13" s="8" t="s">
        <v>3</v>
      </c>
      <c r="E13" s="1"/>
    </row>
    <row r="14" spans="1:5" ht="14.25" customHeight="1" x14ac:dyDescent="0.3">
      <c r="A14" s="1"/>
      <c r="B14" s="27" t="s">
        <v>21</v>
      </c>
      <c r="C14" s="10">
        <f>SUM(C9:C13)</f>
        <v>76307673.317561448</v>
      </c>
      <c r="D14" s="11" t="s">
        <v>3</v>
      </c>
      <c r="E14" s="1"/>
    </row>
    <row r="15" spans="1:5" x14ac:dyDescent="0.3">
      <c r="A15" s="1"/>
      <c r="B15" s="33" t="s">
        <v>12</v>
      </c>
      <c r="C15" s="28"/>
      <c r="D15" s="19"/>
      <c r="E15" s="1"/>
    </row>
    <row r="16" spans="1:5" ht="15" customHeight="1" x14ac:dyDescent="0.3">
      <c r="A16" s="1"/>
      <c r="B16" s="31" t="s">
        <v>12</v>
      </c>
      <c r="C16" s="10">
        <f>'Fane 6. Ikke-påvirkelige omk.'!C20*(1+'Fane 15. Nøgletal'!C10)^3+'Fane 6. Ikke-påvirkelige omk.'!C27+'Fane 6. Ikke-påvirkelige omk.'!C35</f>
        <v>12474055.593953425</v>
      </c>
      <c r="D16" s="11" t="s">
        <v>3</v>
      </c>
      <c r="E16" s="1"/>
    </row>
    <row r="17" spans="1:5" ht="15" customHeight="1" x14ac:dyDescent="0.3">
      <c r="A17" s="1"/>
      <c r="B17" s="33" t="s">
        <v>43</v>
      </c>
      <c r="C17" s="28"/>
      <c r="D17" s="19"/>
      <c r="E17" s="1"/>
    </row>
    <row r="18" spans="1:5" ht="15" customHeight="1" x14ac:dyDescent="0.3">
      <c r="A18" s="1"/>
      <c r="B18" s="83" t="s">
        <v>43</v>
      </c>
      <c r="C18" s="10">
        <f>'Fane 12. Periodevise driftsomk.'!C30</f>
        <v>0</v>
      </c>
      <c r="D18" s="11" t="s">
        <v>3</v>
      </c>
      <c r="E18" s="1"/>
    </row>
    <row r="19" spans="1:5" x14ac:dyDescent="0.3">
      <c r="A19" s="1"/>
      <c r="B19" s="30" t="s">
        <v>76</v>
      </c>
      <c r="C19" s="28"/>
      <c r="D19" s="19"/>
      <c r="E19" s="1"/>
    </row>
    <row r="20" spans="1:5" x14ac:dyDescent="0.3">
      <c r="A20" s="1"/>
      <c r="B20" s="68" t="s">
        <v>77</v>
      </c>
      <c r="C20" s="10">
        <f>'Fane 8. Skattesagen'!C17</f>
        <v>0</v>
      </c>
      <c r="D20" s="11" t="s">
        <v>3</v>
      </c>
      <c r="E20" s="1"/>
    </row>
    <row r="21" spans="1:5" x14ac:dyDescent="0.3">
      <c r="A21" s="1"/>
      <c r="B21" s="33" t="s">
        <v>161</v>
      </c>
      <c r="C21" s="12">
        <f>SUM(C14,C16,C18,C20)</f>
        <v>88781728.911514878</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6OAHQHOY/wC5MDdPFSWvdJbQX47AqXFHdZOF6pLfaYj+ij+9u9d48/ixnVfOvKVFsbrbXLd+y2eW8Ss9Cy7Kpg==" saltValue="c44iNJ/u98y5szHviXqNE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4.4" zeroHeight="1" x14ac:dyDescent="0.3"/>
  <cols>
    <col min="1" max="1" width="6.5546875" style="2" customWidth="1"/>
    <col min="2" max="2" width="53.44140625" style="2" customWidth="1"/>
    <col min="3" max="3" width="12.6640625" style="2" customWidth="1"/>
    <col min="4" max="4" width="3.6640625" style="2" customWidth="1"/>
    <col min="5" max="5" width="10.5546875" style="2" bestFit="1"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110" t="s">
        <v>162</v>
      </c>
      <c r="C3" s="110"/>
      <c r="D3" s="110"/>
      <c r="E3" s="1"/>
    </row>
    <row r="4" spans="1:5" ht="15" customHeight="1" x14ac:dyDescent="0.3">
      <c r="A4" s="1"/>
      <c r="B4" s="110"/>
      <c r="C4" s="110"/>
      <c r="D4" s="110"/>
      <c r="E4" s="1"/>
    </row>
    <row r="5" spans="1:5" ht="15" customHeight="1"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163</v>
      </c>
      <c r="C8" s="28"/>
      <c r="D8" s="19"/>
      <c r="E8" s="1"/>
    </row>
    <row r="9" spans="1:5" ht="15" customHeight="1" x14ac:dyDescent="0.3">
      <c r="A9" s="1"/>
      <c r="B9" s="29" t="s">
        <v>65</v>
      </c>
      <c r="C9" s="7">
        <v>51107166.615861036</v>
      </c>
      <c r="D9" s="8" t="s">
        <v>3</v>
      </c>
      <c r="E9" s="1"/>
    </row>
    <row r="10" spans="1:5" ht="15" customHeight="1" x14ac:dyDescent="0.3">
      <c r="A10" s="1"/>
      <c r="B10" s="65" t="s">
        <v>35</v>
      </c>
      <c r="C10" s="63">
        <v>325414.8296</v>
      </c>
      <c r="D10" s="8" t="s">
        <v>3</v>
      </c>
      <c r="E10" s="1"/>
    </row>
    <row r="11" spans="1:5" ht="15" customHeight="1" x14ac:dyDescent="0.3">
      <c r="A11" s="1"/>
      <c r="B11" s="65" t="s">
        <v>36</v>
      </c>
      <c r="C11" s="63">
        <v>2854516.0112000001</v>
      </c>
      <c r="D11" s="8" t="s">
        <v>3</v>
      </c>
      <c r="E11" s="1"/>
    </row>
    <row r="12" spans="1:5" ht="15" customHeight="1" x14ac:dyDescent="0.3">
      <c r="A12" s="1"/>
      <c r="B12" s="65" t="s">
        <v>25</v>
      </c>
      <c r="C12" s="9">
        <v>0</v>
      </c>
      <c r="D12" s="8" t="s">
        <v>3</v>
      </c>
      <c r="E12" s="1"/>
    </row>
    <row r="13" spans="1:5" ht="15" customHeight="1" x14ac:dyDescent="0.3">
      <c r="A13" s="1"/>
      <c r="B13" s="65" t="s">
        <v>24</v>
      </c>
      <c r="C13" s="9">
        <v>0</v>
      </c>
      <c r="D13" s="8" t="s">
        <v>3</v>
      </c>
      <c r="E13" s="1"/>
    </row>
    <row r="14" spans="1:5" ht="15" customHeight="1" x14ac:dyDescent="0.3">
      <c r="A14" s="1"/>
      <c r="B14" s="65" t="s">
        <v>63</v>
      </c>
      <c r="C14" s="9">
        <v>0</v>
      </c>
      <c r="D14" s="8" t="s">
        <v>3</v>
      </c>
      <c r="E14" s="1"/>
    </row>
    <row r="15" spans="1:5" ht="15" customHeight="1" x14ac:dyDescent="0.3">
      <c r="A15" s="1"/>
      <c r="B15" s="65" t="s">
        <v>64</v>
      </c>
      <c r="C15" s="9">
        <v>0</v>
      </c>
      <c r="D15" s="8" t="s">
        <v>3</v>
      </c>
      <c r="E15" s="1"/>
    </row>
    <row r="16" spans="1:5" ht="15" customHeight="1" x14ac:dyDescent="0.3">
      <c r="A16" s="1"/>
      <c r="B16" s="65" t="s">
        <v>19</v>
      </c>
      <c r="C16" s="9">
        <v>4386397.4744982114</v>
      </c>
      <c r="D16" s="8" t="s">
        <v>3</v>
      </c>
      <c r="E16" s="1"/>
    </row>
    <row r="17" spans="1:5" ht="15" customHeight="1" x14ac:dyDescent="0.3">
      <c r="A17" s="1"/>
      <c r="B17" s="65" t="s">
        <v>10</v>
      </c>
      <c r="C17" s="9">
        <v>0</v>
      </c>
      <c r="D17" s="8" t="s">
        <v>3</v>
      </c>
      <c r="E17" s="1"/>
    </row>
    <row r="18" spans="1:5" ht="15" customHeight="1" x14ac:dyDescent="0.3">
      <c r="A18" s="1"/>
      <c r="B18" s="65" t="s">
        <v>22</v>
      </c>
      <c r="C18" s="9">
        <v>-439462.97689050861</v>
      </c>
      <c r="D18" s="8" t="s">
        <v>3</v>
      </c>
      <c r="E18" s="43"/>
    </row>
    <row r="19" spans="1:5" ht="15" customHeight="1" x14ac:dyDescent="0.3">
      <c r="A19" s="1"/>
      <c r="B19" s="65" t="s">
        <v>23</v>
      </c>
      <c r="C19" s="9">
        <v>0</v>
      </c>
      <c r="D19" s="8" t="s">
        <v>3</v>
      </c>
      <c r="E19" s="1"/>
    </row>
    <row r="20" spans="1:5" ht="15" customHeight="1" x14ac:dyDescent="0.3">
      <c r="A20" s="1"/>
      <c r="B20" s="83" t="s">
        <v>21</v>
      </c>
      <c r="C20" s="10">
        <v>58234031.954268739</v>
      </c>
      <c r="D20" s="11" t="s">
        <v>3</v>
      </c>
      <c r="E20" s="1"/>
    </row>
    <row r="21" spans="1:5" ht="15" customHeight="1" x14ac:dyDescent="0.3">
      <c r="A21" s="1"/>
      <c r="B21" s="33" t="s">
        <v>12</v>
      </c>
      <c r="C21" s="28"/>
      <c r="D21" s="19"/>
      <c r="E21" s="1"/>
    </row>
    <row r="22" spans="1:5" ht="15" customHeight="1" x14ac:dyDescent="0.3">
      <c r="A22" s="1"/>
      <c r="B22" s="31" t="s">
        <v>12</v>
      </c>
      <c r="C22" s="10">
        <v>11624413.91133056</v>
      </c>
      <c r="D22" s="11" t="s">
        <v>3</v>
      </c>
      <c r="E22" s="1"/>
    </row>
    <row r="23" spans="1:5" ht="15" customHeight="1" x14ac:dyDescent="0.3">
      <c r="A23" s="1"/>
      <c r="B23" s="33" t="s">
        <v>43</v>
      </c>
      <c r="C23" s="28"/>
      <c r="D23" s="19"/>
      <c r="E23" s="1"/>
    </row>
    <row r="24" spans="1:5" ht="15" customHeight="1" x14ac:dyDescent="0.3">
      <c r="A24" s="1"/>
      <c r="B24" s="83" t="s">
        <v>43</v>
      </c>
      <c r="C24" s="10">
        <v>0</v>
      </c>
      <c r="D24" s="11" t="s">
        <v>3</v>
      </c>
      <c r="E24" s="1"/>
    </row>
    <row r="25" spans="1:5" x14ac:dyDescent="0.3">
      <c r="A25" s="1"/>
      <c r="B25" s="33" t="s">
        <v>42</v>
      </c>
      <c r="C25" s="28"/>
      <c r="D25" s="19"/>
      <c r="E25" s="1"/>
    </row>
    <row r="26" spans="1:5" ht="15" customHeight="1" x14ac:dyDescent="0.3">
      <c r="A26" s="1"/>
      <c r="B26" s="65" t="s">
        <v>38</v>
      </c>
      <c r="C26" s="9">
        <v>776379.17864639999</v>
      </c>
      <c r="D26" s="8" t="s">
        <v>3</v>
      </c>
      <c r="E26" s="1"/>
    </row>
    <row r="27" spans="1:5" ht="15" customHeight="1" x14ac:dyDescent="0.3">
      <c r="A27" s="1"/>
      <c r="B27" s="65" t="s">
        <v>39</v>
      </c>
      <c r="C27" s="9">
        <v>0</v>
      </c>
      <c r="D27" s="8" t="s">
        <v>3</v>
      </c>
      <c r="E27" s="1"/>
    </row>
    <row r="28" spans="1:5" ht="15" customHeight="1" x14ac:dyDescent="0.3">
      <c r="A28" s="1"/>
      <c r="B28" s="65" t="s">
        <v>224</v>
      </c>
      <c r="C28" s="9">
        <v>-15527.583572928001</v>
      </c>
      <c r="D28" s="8" t="s">
        <v>3</v>
      </c>
      <c r="E28" s="1"/>
    </row>
    <row r="29" spans="1:5" ht="15" customHeight="1" x14ac:dyDescent="0.3">
      <c r="A29" s="1"/>
      <c r="B29" s="72" t="s">
        <v>225</v>
      </c>
      <c r="C29" s="9">
        <v>0</v>
      </c>
      <c r="D29" s="8" t="s">
        <v>3</v>
      </c>
      <c r="E29" s="1"/>
    </row>
    <row r="30" spans="1:5" ht="15" customHeight="1" x14ac:dyDescent="0.3">
      <c r="A30" s="1"/>
      <c r="B30" s="83" t="s">
        <v>44</v>
      </c>
      <c r="C30" s="10">
        <v>760851.59507347201</v>
      </c>
      <c r="D30" s="11" t="s">
        <v>3</v>
      </c>
      <c r="E30" s="1"/>
    </row>
    <row r="31" spans="1:5" ht="15" customHeight="1" x14ac:dyDescent="0.3">
      <c r="A31" s="1"/>
      <c r="B31" s="33" t="s">
        <v>129</v>
      </c>
      <c r="C31" s="28"/>
      <c r="D31" s="19"/>
      <c r="E31" s="1"/>
    </row>
    <row r="32" spans="1:5" ht="15" customHeight="1" x14ac:dyDescent="0.3">
      <c r="A32" s="1"/>
      <c r="B32" s="31" t="s">
        <v>129</v>
      </c>
      <c r="C32" s="10">
        <v>-596009</v>
      </c>
      <c r="D32" s="11" t="s">
        <v>3</v>
      </c>
      <c r="E32" s="1"/>
    </row>
    <row r="33" spans="1:5" x14ac:dyDescent="0.3">
      <c r="A33" s="1"/>
      <c r="B33" s="33" t="s">
        <v>70</v>
      </c>
      <c r="C33" s="28"/>
      <c r="D33" s="19"/>
      <c r="E33" s="1"/>
    </row>
    <row r="34" spans="1:5" ht="15.45" customHeight="1" x14ac:dyDescent="0.3">
      <c r="A34" s="1"/>
      <c r="B34" s="31" t="s">
        <v>80</v>
      </c>
      <c r="C34" s="10">
        <v>-4460011.9903730601</v>
      </c>
      <c r="D34" s="11" t="s">
        <v>3</v>
      </c>
      <c r="E34" s="1"/>
    </row>
    <row r="35" spans="1:5" ht="15.45" customHeight="1" x14ac:dyDescent="0.3">
      <c r="A35" s="1"/>
      <c r="B35" s="107" t="s">
        <v>76</v>
      </c>
      <c r="C35" s="108"/>
      <c r="D35" s="109"/>
      <c r="E35" s="1"/>
    </row>
    <row r="36" spans="1:5" x14ac:dyDescent="0.3">
      <c r="A36" s="1"/>
      <c r="B36" s="68" t="s">
        <v>77</v>
      </c>
      <c r="C36" s="10">
        <v>0</v>
      </c>
      <c r="D36" s="11" t="s">
        <v>3</v>
      </c>
      <c r="E36" s="1"/>
    </row>
    <row r="37" spans="1:5" x14ac:dyDescent="0.3">
      <c r="A37" s="1"/>
      <c r="B37" s="33" t="s">
        <v>66</v>
      </c>
      <c r="C37" s="12">
        <v>65563276.470299721</v>
      </c>
      <c r="D37" s="13" t="s">
        <v>3</v>
      </c>
      <c r="E37" s="1"/>
    </row>
    <row r="38" spans="1:5" ht="30" customHeight="1" x14ac:dyDescent="0.3">
      <c r="A38" s="1"/>
      <c r="B38" s="111" t="s">
        <v>226</v>
      </c>
      <c r="C38" s="111"/>
      <c r="D38" s="111"/>
      <c r="E38" s="1"/>
    </row>
    <row r="39" spans="1:5" x14ac:dyDescent="0.3">
      <c r="A39" s="1"/>
      <c r="B39" s="1"/>
      <c r="C39" s="1"/>
      <c r="D39" s="1"/>
      <c r="E39" s="1"/>
    </row>
    <row r="40" spans="1:5" ht="27" customHeight="1"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ht="14.25" customHeight="1"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s="56" customFormat="1" ht="15" hidden="1" customHeight="1" x14ac:dyDescent="0.3">
      <c r="A49" s="44"/>
      <c r="B49" s="44"/>
      <c r="C49" s="44"/>
      <c r="D49" s="44"/>
      <c r="E49" s="44"/>
    </row>
    <row r="50" spans="1:5" s="56" customFormat="1" hidden="1" x14ac:dyDescent="0.3"/>
    <row r="51" spans="1:5" s="56" customFormat="1" hidden="1" x14ac:dyDescent="0.3"/>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sheetData>
  <sheetProtection algorithmName="SHA-512" hashValue="1BQ9L3SWWJy/+2FcG7FpIhG5AUGTwO1E0Ye0+BmOnwsA/SKDV9USvtOILeGk+D88+P9IQDM9l4yOuV68fHyB0w==" saltValue="ILX/tk9U+Tl2FNyrjo9aLg==" spinCount="100000" sheet="1" objects="1" scenarios="1"/>
  <mergeCells count="3">
    <mergeCell ref="B35:D35"/>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44140625" style="2" customWidth="1"/>
    <col min="5" max="5" width="5.33203125" style="2" customWidth="1"/>
    <col min="6" max="16384" width="9.109375" style="2" hidden="1"/>
  </cols>
  <sheetData>
    <row r="1" spans="1:5" ht="15" customHeight="1" x14ac:dyDescent="0.3">
      <c r="A1" s="1"/>
      <c r="B1" s="35"/>
      <c r="C1" s="35"/>
      <c r="D1" s="35"/>
      <c r="E1" s="1"/>
    </row>
    <row r="2" spans="1:5" ht="15" customHeight="1" x14ac:dyDescent="0.3">
      <c r="A2" s="1"/>
      <c r="B2" s="35"/>
      <c r="C2" s="35"/>
      <c r="D2" s="35"/>
      <c r="E2" s="1"/>
    </row>
    <row r="3" spans="1:5" ht="15" customHeight="1" x14ac:dyDescent="0.3">
      <c r="A3" s="1"/>
      <c r="B3" s="110" t="s">
        <v>57</v>
      </c>
      <c r="C3" s="110"/>
      <c r="D3" s="110"/>
      <c r="E3" s="1"/>
    </row>
    <row r="4" spans="1:5" ht="15" customHeight="1" x14ac:dyDescent="0.3">
      <c r="A4" s="1"/>
      <c r="B4" s="110"/>
      <c r="C4" s="110"/>
      <c r="D4" s="110"/>
      <c r="E4" s="1"/>
    </row>
    <row r="5" spans="1:5" ht="15" customHeight="1" x14ac:dyDescent="0.3">
      <c r="A5" s="1"/>
      <c r="B5" s="110"/>
      <c r="C5" s="110"/>
      <c r="D5" s="110"/>
      <c r="E5" s="1"/>
    </row>
    <row r="6" spans="1:5" ht="15" customHeight="1" x14ac:dyDescent="0.3">
      <c r="A6" s="1"/>
      <c r="B6" s="76"/>
      <c r="C6" s="76"/>
      <c r="D6" s="76"/>
      <c r="E6" s="1"/>
    </row>
    <row r="7" spans="1:5" x14ac:dyDescent="0.3">
      <c r="A7" s="1"/>
      <c r="B7" s="1"/>
      <c r="C7" s="1"/>
      <c r="D7" s="1"/>
      <c r="E7" s="1"/>
    </row>
    <row r="8" spans="1:5" x14ac:dyDescent="0.3">
      <c r="A8" s="1"/>
      <c r="B8" s="112" t="s">
        <v>124</v>
      </c>
      <c r="C8" s="113"/>
      <c r="D8" s="114"/>
      <c r="E8" s="1"/>
    </row>
    <row r="9" spans="1:5" x14ac:dyDescent="0.3">
      <c r="A9" s="1"/>
      <c r="B9" s="66" t="s">
        <v>89</v>
      </c>
      <c r="C9" s="23">
        <v>21621440.496693742</v>
      </c>
      <c r="D9" s="14" t="s">
        <v>3</v>
      </c>
      <c r="E9" s="1"/>
    </row>
    <row r="10" spans="1:5" x14ac:dyDescent="0.3">
      <c r="A10" s="1"/>
      <c r="B10" s="66" t="s">
        <v>126</v>
      </c>
      <c r="C10" s="23">
        <f>('Fane 3. Omkostninger i ØR2024'!C10+'Fane 3. Omkostninger i ØR2024'!C12+'Fane 3. Omkostninger i ØR2024'!C14)*(1+'Fane 15. Nøgletal'!C9)</f>
        <v>351708.34783167997</v>
      </c>
      <c r="D10" s="14" t="s">
        <v>3</v>
      </c>
      <c r="E10" s="1"/>
    </row>
    <row r="11" spans="1:5" x14ac:dyDescent="0.3">
      <c r="A11" s="1"/>
      <c r="B11" s="66" t="s">
        <v>132</v>
      </c>
      <c r="C11" s="23">
        <f>C9*'Fane 15. Nøgletal'!C21+C10*'Fane 15. Nøgletal'!C21</f>
        <v>439462.97689050843</v>
      </c>
      <c r="D11" s="14" t="s">
        <v>3</v>
      </c>
      <c r="E11" s="1"/>
    </row>
    <row r="12" spans="1:5" x14ac:dyDescent="0.3">
      <c r="A12" s="1"/>
      <c r="B12" s="33"/>
      <c r="C12" s="28"/>
      <c r="D12" s="19"/>
      <c r="E12" s="1"/>
    </row>
    <row r="13" spans="1:5" x14ac:dyDescent="0.3">
      <c r="A13" s="1"/>
      <c r="B13" s="1"/>
      <c r="C13" s="1"/>
      <c r="D13" s="1"/>
      <c r="E13" s="1"/>
    </row>
    <row r="14" spans="1:5" x14ac:dyDescent="0.3">
      <c r="A14" s="1"/>
      <c r="B14" s="112" t="s">
        <v>125</v>
      </c>
      <c r="C14" s="113"/>
      <c r="D14" s="114"/>
      <c r="E14" s="1"/>
    </row>
    <row r="15" spans="1:5" x14ac:dyDescent="0.3">
      <c r="A15" s="1"/>
      <c r="B15" s="66" t="s">
        <v>134</v>
      </c>
      <c r="C15" s="23">
        <f>(C9+C10-C11)*(1+'Fane 15. Nøgletal'!C9)</f>
        <v>23273607.685739815</v>
      </c>
      <c r="D15" s="14" t="s">
        <v>3</v>
      </c>
      <c r="E15" s="1"/>
    </row>
    <row r="16" spans="1:5" x14ac:dyDescent="0.3">
      <c r="A16" s="1"/>
      <c r="B16" s="66" t="s">
        <v>185</v>
      </c>
      <c r="C16" s="23">
        <f>('Fane 2.1. Økonomisk ramme 2025'!C10+'Fane 2.1. Økonomisk ramme 2025'!C12+'Fane 2.1. Økonomisk ramme 2025'!C14)*(1+'Fane 15. Nøgletal'!C10)</f>
        <v>1568263.84019545</v>
      </c>
      <c r="D16" s="14" t="s">
        <v>3</v>
      </c>
      <c r="E16" s="1"/>
    </row>
    <row r="17" spans="1:5" x14ac:dyDescent="0.3">
      <c r="A17" s="1"/>
      <c r="B17" s="66" t="s">
        <v>133</v>
      </c>
      <c r="C17" s="23">
        <f>C15*'Fane 15. Nøgletal'!C21+C16*'Fane 15. Nøgletal'!C21</f>
        <v>496837.43051870528</v>
      </c>
      <c r="D17" s="14" t="s">
        <v>3</v>
      </c>
      <c r="E17" s="1"/>
    </row>
    <row r="18" spans="1:5" x14ac:dyDescent="0.3">
      <c r="A18" s="1"/>
      <c r="B18" s="33"/>
      <c r="C18" s="28"/>
      <c r="D18" s="19"/>
      <c r="E18" s="1"/>
    </row>
    <row r="19" spans="1:5" x14ac:dyDescent="0.3">
      <c r="A19" s="1"/>
      <c r="B19" s="1"/>
      <c r="C19" s="64"/>
      <c r="D19" s="1"/>
      <c r="E19" s="1"/>
    </row>
    <row r="20" spans="1:5" x14ac:dyDescent="0.3">
      <c r="A20" s="1"/>
      <c r="B20" s="112" t="s">
        <v>146</v>
      </c>
      <c r="C20" s="113"/>
      <c r="D20" s="114"/>
      <c r="E20" s="1"/>
    </row>
    <row r="21" spans="1:5" x14ac:dyDescent="0.3">
      <c r="A21" s="1"/>
      <c r="B21" s="66" t="s">
        <v>190</v>
      </c>
      <c r="C21" s="23">
        <f>(C15+C16-C17)*(1+'Fane 15. Nøgletal'!C10)</f>
        <v>25959109.855942678</v>
      </c>
      <c r="D21" s="14" t="s">
        <v>3</v>
      </c>
      <c r="E21" s="1"/>
    </row>
    <row r="22" spans="1:5" x14ac:dyDescent="0.3">
      <c r="A22" s="1"/>
      <c r="B22" s="66" t="s">
        <v>197</v>
      </c>
      <c r="C22" s="23">
        <f>C21*'Fane 15. Nøgletal'!C21</f>
        <v>519182.19711885357</v>
      </c>
      <c r="D22" s="14" t="s">
        <v>3</v>
      </c>
      <c r="E22" s="1"/>
    </row>
    <row r="23" spans="1:5" x14ac:dyDescent="0.3">
      <c r="A23" s="1"/>
      <c r="B23" s="33"/>
      <c r="C23" s="28"/>
      <c r="D23" s="19"/>
      <c r="E23" s="1"/>
    </row>
    <row r="24" spans="1:5" x14ac:dyDescent="0.3">
      <c r="A24" s="1"/>
      <c r="B24" s="1"/>
      <c r="C24" s="1"/>
      <c r="D24" s="1"/>
      <c r="E24" s="1"/>
    </row>
    <row r="25" spans="1:5" x14ac:dyDescent="0.3">
      <c r="A25" s="1"/>
      <c r="B25" s="112" t="s">
        <v>188</v>
      </c>
      <c r="C25" s="113"/>
      <c r="D25" s="114"/>
      <c r="E25" s="1"/>
    </row>
    <row r="26" spans="1:5" x14ac:dyDescent="0.3">
      <c r="A26" s="1"/>
      <c r="B26" s="66" t="s">
        <v>191</v>
      </c>
      <c r="C26" s="23">
        <f>(C21-C22)*(1+'Fane 15. Nøgletal'!C10)</f>
        <v>27126594.862603847</v>
      </c>
      <c r="D26" s="14" t="s">
        <v>3</v>
      </c>
      <c r="E26" s="1"/>
    </row>
    <row r="27" spans="1:5" x14ac:dyDescent="0.3">
      <c r="A27" s="1"/>
      <c r="B27" s="66" t="s">
        <v>195</v>
      </c>
      <c r="C27" s="23">
        <f>C26*'Fane 15. Nøgletal'!C21</f>
        <v>542531.897252077</v>
      </c>
      <c r="D27" s="14" t="s">
        <v>3</v>
      </c>
      <c r="E27" s="1"/>
    </row>
    <row r="28" spans="1:5" x14ac:dyDescent="0.3">
      <c r="A28" s="1"/>
      <c r="B28" s="33"/>
      <c r="C28" s="28"/>
      <c r="D28" s="19"/>
      <c r="E28" s="1"/>
    </row>
    <row r="29" spans="1:5" x14ac:dyDescent="0.3">
      <c r="A29" s="1"/>
      <c r="B29" s="1"/>
      <c r="C29" s="1"/>
      <c r="D29" s="1"/>
      <c r="E29" s="1"/>
    </row>
    <row r="30" spans="1:5" x14ac:dyDescent="0.3">
      <c r="A30" s="1"/>
      <c r="B30" s="112" t="s">
        <v>189</v>
      </c>
      <c r="C30" s="113"/>
      <c r="D30" s="114"/>
      <c r="E30" s="1"/>
    </row>
    <row r="31" spans="1:5" x14ac:dyDescent="0.3">
      <c r="A31" s="1"/>
      <c r="B31" s="66" t="s">
        <v>192</v>
      </c>
      <c r="C31" s="23">
        <f>(C26-C27)*(1+'Fane 15. Nøgletal'!C10)</f>
        <v>28346586.339954596</v>
      </c>
      <c r="D31" s="14" t="s">
        <v>3</v>
      </c>
      <c r="E31" s="1"/>
    </row>
    <row r="32" spans="1:5" x14ac:dyDescent="0.3">
      <c r="A32" s="1"/>
      <c r="B32" s="66" t="s">
        <v>196</v>
      </c>
      <c r="C32" s="23">
        <f>C31*'Fane 15. Nøgletal'!C21</f>
        <v>566931.72679909191</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3dDdk15Cjt8K9RKvsMB+5wD7koLvEylxuWowukCCIYK3MzNAqyd9ynZsz70kNdlfV6i9TcEA3VrctdYSVFC9fA==" saltValue="SeN4vqNM2tMb7Tw6Ife52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4.4" zeroHeight="1" x14ac:dyDescent="0.3"/>
  <cols>
    <col min="1" max="1" width="5.33203125" style="2" customWidth="1"/>
    <col min="2" max="2" width="58.109375" style="2" customWidth="1"/>
    <col min="3" max="3" width="11.6640625" style="2" customWidth="1"/>
    <col min="4" max="4" width="3.109375" style="2" customWidth="1"/>
    <col min="5" max="5" width="5.33203125" style="2" customWidth="1"/>
    <col min="6" max="16384" width="9.109375" style="2" hidden="1"/>
  </cols>
  <sheetData>
    <row r="1" spans="1:5" ht="14.25" customHeight="1" x14ac:dyDescent="0.4">
      <c r="A1" s="1"/>
      <c r="B1" s="70"/>
      <c r="C1" s="70"/>
      <c r="D1" s="70"/>
      <c r="E1" s="1"/>
    </row>
    <row r="2" spans="1:5" ht="15" customHeight="1" x14ac:dyDescent="0.4">
      <c r="A2" s="1"/>
      <c r="B2" s="70"/>
      <c r="C2" s="70"/>
      <c r="D2" s="70"/>
      <c r="E2" s="1"/>
    </row>
    <row r="3" spans="1:5" ht="15" customHeight="1" x14ac:dyDescent="0.3">
      <c r="A3" s="1"/>
      <c r="B3" s="115" t="s">
        <v>58</v>
      </c>
      <c r="C3" s="115"/>
      <c r="D3" s="115"/>
      <c r="E3" s="1"/>
    </row>
    <row r="4" spans="1:5" ht="15" customHeight="1" x14ac:dyDescent="0.3">
      <c r="A4" s="1"/>
      <c r="B4" s="115"/>
      <c r="C4" s="115"/>
      <c r="D4" s="115"/>
      <c r="E4" s="1"/>
    </row>
    <row r="5" spans="1:5" ht="15" customHeight="1" x14ac:dyDescent="0.3">
      <c r="A5" s="1"/>
      <c r="B5" s="115"/>
      <c r="C5" s="115"/>
      <c r="D5" s="115"/>
      <c r="E5" s="1"/>
    </row>
    <row r="6" spans="1:5" ht="15" customHeight="1" x14ac:dyDescent="0.4">
      <c r="A6" s="1"/>
      <c r="B6" s="70"/>
      <c r="C6" s="70"/>
      <c r="D6" s="70"/>
      <c r="E6" s="1"/>
    </row>
    <row r="7" spans="1:5" x14ac:dyDescent="0.3">
      <c r="A7" s="1"/>
      <c r="B7" s="1"/>
      <c r="C7" s="1"/>
      <c r="D7" s="1"/>
      <c r="E7" s="1"/>
    </row>
    <row r="8" spans="1:5" x14ac:dyDescent="0.3">
      <c r="A8" s="1"/>
      <c r="B8" s="112" t="s">
        <v>148</v>
      </c>
      <c r="C8" s="113"/>
      <c r="D8" s="114"/>
      <c r="E8" s="1"/>
    </row>
    <row r="9" spans="1:5" x14ac:dyDescent="0.3">
      <c r="A9" s="1"/>
      <c r="B9" s="66" t="s">
        <v>135</v>
      </c>
      <c r="C9" s="23">
        <v>34897504.951982997</v>
      </c>
      <c r="D9" s="14" t="s">
        <v>3</v>
      </c>
      <c r="E9" s="1"/>
    </row>
    <row r="10" spans="1:5" x14ac:dyDescent="0.3">
      <c r="A10" s="1"/>
      <c r="B10" s="66" t="s">
        <v>127</v>
      </c>
      <c r="C10" s="23">
        <f>('Fane 3. Omkostninger i ØR2024'!C11+'Fane 3. Omkostninger i ØR2024'!C13+'Fane 3. Omkostninger i ØR2024'!C15)*(1+'Fane 15. Nøgletal'!C9)</f>
        <v>3085160.9049049602</v>
      </c>
      <c r="D10" s="14" t="s">
        <v>3</v>
      </c>
      <c r="E10" s="1"/>
    </row>
    <row r="11" spans="1:5" x14ac:dyDescent="0.3">
      <c r="A11" s="1"/>
      <c r="B11" s="66" t="s">
        <v>136</v>
      </c>
      <c r="C11" s="23">
        <f>SUM(C9:C10)*'Fane 15. Nøgletal'!C15</f>
        <v>0</v>
      </c>
      <c r="D11" s="14" t="s">
        <v>3</v>
      </c>
      <c r="E11" s="1"/>
    </row>
    <row r="12" spans="1:5" x14ac:dyDescent="0.3">
      <c r="A12" s="1"/>
      <c r="B12" s="33"/>
      <c r="C12" s="28"/>
      <c r="D12" s="19"/>
      <c r="E12" s="1"/>
    </row>
    <row r="13" spans="1:5" x14ac:dyDescent="0.3">
      <c r="A13" s="1"/>
      <c r="B13" s="1"/>
      <c r="C13" s="1"/>
      <c r="D13" s="1"/>
      <c r="E13" s="1"/>
    </row>
    <row r="14" spans="1:5" x14ac:dyDescent="0.3">
      <c r="A14" s="1"/>
      <c r="B14" s="112" t="s">
        <v>147</v>
      </c>
      <c r="C14" s="113"/>
      <c r="D14" s="114"/>
      <c r="E14" s="1"/>
    </row>
    <row r="15" spans="1:5" x14ac:dyDescent="0.3">
      <c r="A15" s="1"/>
      <c r="B15" s="66" t="s">
        <v>137</v>
      </c>
      <c r="C15" s="23">
        <f>(C9+C10-C11)*(1+'Fane 15. Nøgletal'!C9)</f>
        <v>41051665.258124508</v>
      </c>
      <c r="D15" s="14" t="s">
        <v>3</v>
      </c>
      <c r="E15" s="1"/>
    </row>
    <row r="16" spans="1:5" x14ac:dyDescent="0.3">
      <c r="A16" s="1"/>
      <c r="B16" s="66" t="s">
        <v>186</v>
      </c>
      <c r="C16" s="23">
        <f>('Fane 2.1. Økonomisk ramme 2025'!C11+'Fane 2.1. Økonomisk ramme 2025'!C13+'Fane 2.1. Økonomisk ramme 2025'!C15)*(1+'Fane 15. Nøgletal'!C10)</f>
        <v>361384.98410098004</v>
      </c>
      <c r="D16" s="14" t="s">
        <v>3</v>
      </c>
      <c r="E16" s="1"/>
    </row>
    <row r="17" spans="1:5" x14ac:dyDescent="0.3">
      <c r="A17" s="1"/>
      <c r="B17" s="66" t="s">
        <v>138</v>
      </c>
      <c r="C17" s="23">
        <f>(C15)*'Fane 15. Nøgletal'!C15+C16*'Fane 15. Nøgletal'!C16</f>
        <v>0</v>
      </c>
      <c r="D17" s="14" t="s">
        <v>3</v>
      </c>
      <c r="E17" s="1"/>
    </row>
    <row r="18" spans="1:5" x14ac:dyDescent="0.3">
      <c r="A18" s="1"/>
      <c r="B18" s="33"/>
      <c r="C18" s="28"/>
      <c r="D18" s="19"/>
      <c r="E18" s="1"/>
    </row>
    <row r="19" spans="1:5" x14ac:dyDescent="0.3">
      <c r="A19" s="1"/>
      <c r="B19" s="1"/>
      <c r="C19" s="1"/>
      <c r="D19" s="1"/>
      <c r="E19" s="1"/>
    </row>
    <row r="20" spans="1:5" x14ac:dyDescent="0.3">
      <c r="A20" s="1"/>
      <c r="B20" s="112" t="s">
        <v>83</v>
      </c>
      <c r="C20" s="113"/>
      <c r="D20" s="114"/>
      <c r="E20" s="1"/>
    </row>
    <row r="21" spans="1:5" x14ac:dyDescent="0.3">
      <c r="A21" s="1"/>
      <c r="B21" s="66" t="s">
        <v>193</v>
      </c>
      <c r="C21" s="23">
        <f>(C15+C16-C17)*(1+'Fane 15. Nøgletal'!C10)</f>
        <v>44158735.473285042</v>
      </c>
      <c r="D21" s="14" t="s">
        <v>3</v>
      </c>
      <c r="E21" s="1"/>
    </row>
    <row r="22" spans="1:5" x14ac:dyDescent="0.3">
      <c r="A22" s="1"/>
      <c r="B22" s="66" t="s">
        <v>198</v>
      </c>
      <c r="C22" s="23">
        <f>C21*'Fane 15. Nøgletal'!C16</f>
        <v>0</v>
      </c>
      <c r="D22" s="14" t="s">
        <v>3</v>
      </c>
      <c r="E22" s="1"/>
    </row>
    <row r="23" spans="1:5" x14ac:dyDescent="0.3">
      <c r="A23" s="1"/>
      <c r="B23" s="33"/>
      <c r="C23" s="28"/>
      <c r="D23" s="19"/>
      <c r="E23" s="1"/>
    </row>
    <row r="24" spans="1:5" x14ac:dyDescent="0.3">
      <c r="A24" s="1"/>
      <c r="B24" s="1"/>
      <c r="C24" s="1"/>
      <c r="D24" s="1"/>
      <c r="E24" s="1"/>
    </row>
    <row r="25" spans="1:5" x14ac:dyDescent="0.3">
      <c r="A25" s="1"/>
      <c r="B25" s="112" t="s">
        <v>139</v>
      </c>
      <c r="C25" s="113"/>
      <c r="D25" s="114"/>
      <c r="E25" s="1"/>
    </row>
    <row r="26" spans="1:5" x14ac:dyDescent="0.3">
      <c r="A26" s="1"/>
      <c r="B26" s="66" t="s">
        <v>194</v>
      </c>
      <c r="C26" s="23">
        <f>(C21-C22)*(1+'Fane 15. Nøgletal'!C10)</f>
        <v>47086459.635163844</v>
      </c>
      <c r="D26" s="14" t="s">
        <v>3</v>
      </c>
      <c r="E26" s="1"/>
    </row>
    <row r="27" spans="1:5" x14ac:dyDescent="0.3">
      <c r="A27" s="1"/>
      <c r="B27" s="66" t="s">
        <v>199</v>
      </c>
      <c r="C27" s="23">
        <f>C26*'Fane 15. Nøgletal'!C16</f>
        <v>0</v>
      </c>
      <c r="D27" s="14" t="s">
        <v>3</v>
      </c>
      <c r="E27" s="1"/>
    </row>
    <row r="28" spans="1:5" x14ac:dyDescent="0.3">
      <c r="A28" s="1"/>
      <c r="B28" s="33"/>
      <c r="C28" s="28"/>
      <c r="D28" s="19"/>
      <c r="E28" s="1"/>
    </row>
    <row r="29" spans="1:5" x14ac:dyDescent="0.3">
      <c r="A29" s="1"/>
      <c r="B29" s="1"/>
      <c r="C29" s="1"/>
      <c r="D29" s="1"/>
      <c r="E29" s="1"/>
    </row>
    <row r="30" spans="1:5" x14ac:dyDescent="0.3">
      <c r="A30" s="1"/>
      <c r="B30" s="112" t="s">
        <v>164</v>
      </c>
      <c r="C30" s="113"/>
      <c r="D30" s="114"/>
      <c r="E30" s="1"/>
    </row>
    <row r="31" spans="1:5" x14ac:dyDescent="0.3">
      <c r="A31" s="1"/>
      <c r="B31" s="66" t="s">
        <v>201</v>
      </c>
      <c r="C31" s="23">
        <f>(C26-C27)*(1+'Fane 15. Nøgletal'!C10)</f>
        <v>50208291.908975206</v>
      </c>
      <c r="D31" s="14" t="s">
        <v>3</v>
      </c>
      <c r="E31" s="1"/>
    </row>
    <row r="32" spans="1:5" x14ac:dyDescent="0.3">
      <c r="A32" s="1"/>
      <c r="B32" s="66" t="s">
        <v>200</v>
      </c>
      <c r="C32" s="23">
        <f>C31*'Fane 15. Nøgletal'!C16</f>
        <v>0</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vkaaeGn4Qb9rg3ZtKoNVabIBQImzeE44m13wVoRnThmIlNweF1pGSks3ILDrNJxZkn7cRdTAONRbSAeYf2AjUg==" saltValue="FS9f8xDuBs1jqUuNo3bD2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05" t="s">
        <v>45</v>
      </c>
      <c r="C3" s="105"/>
      <c r="D3" s="1"/>
    </row>
    <row r="4" spans="1:4" ht="15" customHeight="1" x14ac:dyDescent="0.3">
      <c r="A4" s="1"/>
      <c r="B4" s="105"/>
      <c r="C4" s="105"/>
      <c r="D4" s="1"/>
    </row>
    <row r="5" spans="1:4" x14ac:dyDescent="0.3">
      <c r="A5" s="1"/>
      <c r="B5" s="1"/>
      <c r="C5" s="1"/>
      <c r="D5" s="1"/>
    </row>
    <row r="6" spans="1:4" x14ac:dyDescent="0.3">
      <c r="A6" s="1"/>
      <c r="B6" s="1"/>
      <c r="C6" s="1"/>
      <c r="D6" s="1"/>
    </row>
    <row r="7" spans="1:4" x14ac:dyDescent="0.3">
      <c r="A7" s="1"/>
      <c r="B7" s="1"/>
      <c r="C7" s="1"/>
      <c r="D7" s="1"/>
    </row>
    <row r="8" spans="1:4" x14ac:dyDescent="0.3">
      <c r="A8" s="1"/>
      <c r="B8" s="112" t="s">
        <v>10</v>
      </c>
      <c r="C8" s="114"/>
      <c r="D8" s="1"/>
    </row>
    <row r="9" spans="1:4" x14ac:dyDescent="0.3">
      <c r="A9" s="1"/>
      <c r="B9" s="66" t="s">
        <v>165</v>
      </c>
      <c r="C9" s="22">
        <v>0</v>
      </c>
      <c r="D9" s="1"/>
    </row>
    <row r="10" spans="1:4" x14ac:dyDescent="0.3">
      <c r="A10" s="1"/>
      <c r="B10" s="33"/>
      <c r="C10" s="19"/>
      <c r="D10" s="1"/>
    </row>
    <row r="11" spans="1:4" x14ac:dyDescent="0.3">
      <c r="A11" s="1"/>
      <c r="B11" s="116" t="s">
        <v>219</v>
      </c>
      <c r="C11" s="117"/>
      <c r="D11" s="1"/>
    </row>
    <row r="12" spans="1:4" x14ac:dyDescent="0.3">
      <c r="A12" s="1"/>
      <c r="B12" s="118"/>
      <c r="C12" s="119"/>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sheetData>
  <sheetProtection algorithmName="SHA-512" hashValue="KNppLpCfXqcY5GQ3ZH/n4R6xzzz7VZbOgyGoMn9BNhT+TC7DIcjAex7b4sjPnmpADm6aO3XPAd7lOwnOw3xLMA==" saltValue="TDD4uSS9kmwOe8rp68/r0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2024-09-09T07:34:59Z</dcterms:modified>
</cp:coreProperties>
</file>