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kanderborg Spildevand AS (S08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C16" i="19" l="1"/>
  <c r="E18" i="27" l="1"/>
  <c r="G26" i="30" l="1"/>
  <c r="E29" i="32" l="1"/>
  <c r="E33" i="32" s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10" i="11" l="1"/>
  <c r="G7" i="30" l="1"/>
  <c r="E29" i="20" l="1"/>
  <c r="E23" i="20"/>
  <c r="E17" i="20"/>
  <c r="E11" i="20"/>
  <c r="E12" i="20" s="1"/>
  <c r="E21" i="32" l="1"/>
  <c r="E12" i="32"/>
  <c r="E17" i="40" l="1"/>
  <c r="C34" i="2" s="1"/>
  <c r="E28" i="20" l="1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6" i="39"/>
  <c r="C36" i="39"/>
  <c r="E28" i="39"/>
  <c r="C28" i="39"/>
  <c r="E20" i="39"/>
  <c r="C20" i="39"/>
  <c r="E12" i="39"/>
  <c r="C12" i="39"/>
  <c r="E14" i="39" l="1"/>
  <c r="E13" i="39"/>
  <c r="C22" i="39"/>
  <c r="C21" i="39"/>
  <c r="C38" i="39"/>
  <c r="C37" i="39"/>
  <c r="E22" i="39"/>
  <c r="E21" i="39"/>
  <c r="E38" i="39"/>
  <c r="E37" i="39"/>
  <c r="C14" i="39"/>
  <c r="C13" i="39"/>
  <c r="C30" i="39"/>
  <c r="C29" i="39"/>
  <c r="E30" i="39"/>
  <c r="E29" i="39"/>
  <c r="C39" i="39" l="1"/>
  <c r="C21" i="23" s="1"/>
  <c r="C23" i="39"/>
  <c r="C22" i="15" s="1"/>
  <c r="C31" i="39"/>
  <c r="C21" i="22" s="1"/>
  <c r="E23" i="39"/>
  <c r="C23" i="15" s="1"/>
  <c r="E31" i="39"/>
  <c r="C22" i="22" s="1"/>
  <c r="E39" i="39"/>
  <c r="C22" i="23" s="1"/>
  <c r="C23" i="23" s="1"/>
  <c r="E15" i="39"/>
  <c r="C31" i="2" s="1"/>
  <c r="C15" i="39"/>
  <c r="C30" i="2" s="1"/>
  <c r="C23" i="22" l="1"/>
  <c r="C24" i="15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11" i="11"/>
  <c r="C10" i="37" s="1"/>
  <c r="C14" i="37" s="1"/>
  <c r="C15" i="37" s="1"/>
  <c r="C14" i="2" s="1"/>
  <c r="G11" i="11"/>
  <c r="E11" i="21" l="1"/>
  <c r="C11" i="21"/>
  <c r="E11" i="29"/>
  <c r="C11" i="29"/>
  <c r="C17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1" i="11"/>
  <c r="E10" i="37" s="1"/>
  <c r="E14" i="37" s="1"/>
  <c r="E15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<sst xmlns="http://schemas.openxmlformats.org/spreadsheetml/2006/main" count="712" uniqueCount="284">
  <si>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</si>
  <si>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</si>
  <si>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</si>
  <si>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</si>
  <si>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</si>
  <si>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</si>
  <si>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</si>
  <si>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</si>
  <si>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</si>
  <si>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</si>
  <si>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</si>
  <si>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</si>
  <si>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</si>
  <si>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</si>
  <si>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</si>
  <si>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</si>
  <si>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</si>
  <si>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</si>
  <si>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</si>
  <si>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</si>
  <si>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</si>
  <si>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</si>
  <si>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</si>
  <si>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</si>
  <si>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</si>
  <si>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</si>
  <si>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</si>
  <si>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</si>
  <si>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</si>
  <si>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</si>
  <si>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</si>
  <si>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</si>
  <si>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</si>
  <si>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</si>
  <si>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</si>
  <si>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</si>
  <si>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</si>
  <si>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</si>
  <si>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</si>
  <si>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</si>
  <si>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</si>
  <si>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</si>
  <si>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</si>
  <si>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</si>
  <si>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</si>
  <si>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</si>
  <si>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</si>
  <si>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</si>
  <si>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</si>
  <si>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</si>
  <si>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</si>
  <si>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</si>
  <si>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</si>
  <si>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</si>
  <si>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</si>
  <si>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</si>
  <si>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</si>
  <si>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</si>
  <si>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</si>
  <si>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</si>
  <si>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</si>
  <si>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</si>
  <si>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</si>
  <si>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</si>
  <si>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</si>
  <si>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</si>
  <si>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</si>
  <si>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</si>
  <si>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</si>
  <si>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</si>
  <si>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</si>
  <si>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</si>
  <si>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</si>
  <si>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</si>
  <si>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</si>
  <si>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</si>
  <si>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</si>
  <si>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</si>
  <si>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</si>
  <si>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</si>
  <si>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</si>
  <si>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</si>
  <si>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</si>
  <si>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</si>
  <si>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</si>
  <si>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</si>
  <si>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</si>
  <si>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</si>
  <si>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</si>
  <si>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</si>
  <si>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</si>
  <si>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</si>
  <si>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</si>
  <si>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</si>
  <si>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</si>
  <si>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</si>
  <si>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</si>
  <si>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</si>
  <si>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</si>
  <si>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</si>
  <si>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</si>
  <si>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</si>
  <si>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</si>
  <si>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</si>
  <si>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</si>
  <si>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</si>
  <si>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</si>
  <si>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</si>
  <si>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</si>
  <si>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</si>
  <si>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</si>
  <si>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</si>
  <si>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</si>
  <si>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</si>
  <si>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</si>
  <si>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</si>
  <si>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</si>
  <si>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</si>
  <si>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</si>
  <si>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</si>
  <si>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</si>
  <si>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</si>
  <si>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</si>
  <si>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</si>
  <si>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</si>
  <si>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</si>
  <si>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</si>
  <si>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</si>
  <si>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</si>
  <si>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</si>
  <si>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</si>
  <si>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</si>
  <si>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</si>
  <si>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</si>
  <si>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</si>
  <si>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</si>
  <si>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</si>
  <si>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</si>
  <si>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</si>
  <si>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</si>
  <si>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</si>
  <si>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</si>
  <si>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</si>
  <si>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</si>
  <si>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</si>
  <si>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</si>
  <si>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</si>
  <si>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</si>
  <si>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</si>
  <si>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</si>
  <si>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</si>
  <si>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</si>
  <si>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</si>
  <si>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</si>
  <si>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</si>
  <si>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</si>
  <si>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</si>
  <si>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</si>
  <si>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</si>
  <si>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</si>
  <si>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</si>
  <si>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</si>
  <si>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</si>
  <si>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</si>
  <si>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</si>
  <si>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</si>
  <si>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</si>
  <si>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</si>
  <si>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</si>
  <si>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</si>
  <si>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</si>
  <si>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</si>
  <si>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</si>
  <si>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</si>
  <si>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</si>
  <si>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</si>
  <si>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</si>
  <si>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</si>
  <si>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</si>
  <si>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</si>
  <si>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</si>
  <si>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</si>
  <si>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</si>
  <si>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</si>
  <si>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</si>
  <si>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</si>
  <si>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</si>
  <si>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</si>
  <si>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</si>
  <si>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</si>
  <si>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</si>
  <si>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</si>
  <si>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</si>
  <si>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</si>
  <si>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</si>
  <si>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</si>
  <si>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</si>
  <si>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</si>
  <si>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</si>
  <si>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</si>
  <si>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</si>
  <si>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</si>
  <si>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</si>
  <si>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</si>
  <si>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</si>
  <si>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</si>
  <si>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</si>
  <si>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</si>
  <si>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</si>
  <si>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</si>
  <si>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</si>
  <si>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</si>
  <si>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</si>
  <si>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</si>
  <si>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</si>
  <si>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</si>
  <si>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</si>
  <si>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</si>
  <si>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</si>
  <si>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</si>
  <si>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</si>
  <si>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</si>
  <si>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</si>
  <si>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</si>
  <si>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</si>
  <si>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</si>
  <si>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</si>
  <si>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</si>
  <si>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</si>
  <si>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</si>
  <si>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</si>
  <si>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</si>
  <si>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</si>
  <si>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</si>
  <si>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</si>
  <si>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</si>
  <si>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</si>
  <si>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</si>
  <si>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</si>
  <si>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</si>
  <si>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</si>
  <si>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</si>
  <si>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</si>
  <si>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</si>
  <si>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</si>
  <si>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</si>
  <si>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</si>
  <si>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</si>
  <si>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</si>
  <si>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</si>
  <si>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</si>
  <si>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</si>
  <si>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</si>
  <si>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</si>
  <si>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</si>
  <si>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</si>
  <si>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</si>
  <si>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</si>
  <si>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</si>
  <si>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</si>
  <si>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</si>
  <si>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</si>
  <si>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</si>
  <si>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</si>
  <si>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</si>
  <si>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</si>
  <si>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</si>
  <si>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</si>
  <si>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</si>
  <si>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</si>
  <si>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</si>
  <si>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</si>
  <si>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</si>
  <si>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</si>
  <si>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</si>
  <si>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Undersøgelsesudgifter i forbindelse med fusion</t>
  </si>
  <si>
    <t>Ingen tilknyttet virksomhed</t>
  </si>
  <si>
    <t>Ingen bortfald eller nedsættelse</t>
  </si>
  <si>
    <t>Kloaksepareringer, overløb og fejlkoblinger</t>
  </si>
  <si>
    <t>Byggemodninger</t>
  </si>
  <si>
    <t>Oprensning af bassin</t>
  </si>
  <si>
    <t>Overløb og fejlkoblinger</t>
  </si>
  <si>
    <t>Ingen engangstillæg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</si>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</sst>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263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264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39</v>
      </c>
      <c r="D15" s="66" t="s">
        <v>104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40</v>
      </c>
      <c r="D16" s="66" t="s">
        <v>188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184</v>
      </c>
      <c r="D17" s="66" t="s">
        <v>189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156</v>
      </c>
      <c r="D18" s="69" t="s">
        <v>134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157</v>
      </c>
      <c r="D19" s="69" t="s">
        <v>135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158</v>
      </c>
      <c r="D21" s="57" t="s">
        <v>13</v>
      </c>
      <c r="E21" s="58"/>
      <c r="F21" s="58"/>
      <c r="G21" s="59"/>
      <c r="H21" s="1"/>
      <c r="I21" s="1"/>
    </row>
    <row r="22" spans="1:9" x14ac:dyDescent="0.25">
      <c r="A22" s="1"/>
      <c r="B22" s="1"/>
      <c r="C22" s="6" t="s">
        <v>108</v>
      </c>
      <c r="D22" s="60" t="s">
        <v>190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191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42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159</v>
      </c>
      <c r="D25" s="60" t="s">
        <v>109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160</v>
      </c>
      <c r="D26" s="60" t="s">
        <v>110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161</v>
      </c>
      <c r="D27" s="60" t="s">
        <v>111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16</v>
      </c>
      <c r="D28" s="60" t="s">
        <v>187</v>
      </c>
      <c r="E28" s="61"/>
      <c r="F28" s="61"/>
      <c r="G28" s="62"/>
      <c r="H28" s="1"/>
      <c r="I28" s="1"/>
    </row>
    <row r="29" spans="1:9" x14ac:dyDescent="0.25">
      <c r="A29" s="1"/>
      <c r="B29" s="1"/>
      <c r="C29" s="6" t="s">
        <v>44</v>
      </c>
      <c r="D29" s="60" t="s">
        <v>43</v>
      </c>
      <c r="E29" s="61"/>
      <c r="F29" s="61"/>
      <c r="G29" s="62"/>
      <c r="H29" s="1"/>
      <c r="I29" s="1"/>
    </row>
    <row r="30" spans="1:9" x14ac:dyDescent="0.25">
      <c r="A30" s="1"/>
      <c r="B30" s="1"/>
      <c r="C30" s="6" t="s">
        <v>45</v>
      </c>
      <c r="D30" s="54" t="s">
        <v>151</v>
      </c>
      <c r="E30" s="55"/>
      <c r="F30" s="55"/>
      <c r="G30" s="5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165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2" t="s">
        <v>203</v>
      </c>
      <c r="C8" s="103"/>
      <c r="D8" s="104"/>
      <c r="E8" s="1"/>
      <c r="F8" s="1"/>
    </row>
    <row r="9" spans="1:6" ht="15" customHeight="1" x14ac:dyDescent="0.25">
      <c r="A9" s="1"/>
      <c r="B9" s="45" t="s">
        <v>37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49" t="s">
        <v>270</v>
      </c>
      <c r="C10" s="9">
        <v>1083697</v>
      </c>
      <c r="D10" s="14" t="s">
        <v>3</v>
      </c>
      <c r="E10" s="1"/>
      <c r="F10" s="1"/>
    </row>
    <row r="11" spans="1:6" ht="15" customHeight="1" x14ac:dyDescent="0.25">
      <c r="A11" s="1"/>
      <c r="B11" s="49" t="s">
        <v>271</v>
      </c>
      <c r="C11" s="9">
        <v>55067</v>
      </c>
      <c r="D11" s="14" t="s">
        <v>3</v>
      </c>
      <c r="E11" s="1"/>
      <c r="F11" s="1"/>
    </row>
    <row r="12" spans="1:6" ht="15" customHeight="1" x14ac:dyDescent="0.25">
      <c r="A12" s="1"/>
      <c r="B12" s="49" t="s">
        <v>272</v>
      </c>
      <c r="C12" s="9">
        <v>2082148</v>
      </c>
      <c r="D12" s="14" t="s">
        <v>3</v>
      </c>
      <c r="E12" s="1"/>
      <c r="F12" s="1"/>
    </row>
    <row r="13" spans="1:6" x14ac:dyDescent="0.25">
      <c r="A13" s="1"/>
      <c r="B13" s="49" t="s">
        <v>273</v>
      </c>
      <c r="C13" s="9">
        <v>325904</v>
      </c>
      <c r="D13" s="14" t="s">
        <v>3</v>
      </c>
      <c r="E13" s="1"/>
      <c r="F13" s="1"/>
    </row>
    <row r="14" spans="1:6" x14ac:dyDescent="0.25">
      <c r="A14" s="1"/>
      <c r="B14" s="49" t="s">
        <v>274</v>
      </c>
      <c r="C14" s="9">
        <v>93538</v>
      </c>
      <c r="D14" s="14" t="s">
        <v>3</v>
      </c>
      <c r="E14" s="1"/>
      <c r="F14" s="1"/>
    </row>
    <row r="15" spans="1:6" x14ac:dyDescent="0.25">
      <c r="A15" s="1"/>
      <c r="B15" s="49" t="s">
        <v>275</v>
      </c>
      <c r="C15" s="9">
        <v>324704</v>
      </c>
      <c r="D15" s="14" t="s">
        <v>3</v>
      </c>
      <c r="E15" s="1"/>
      <c r="F15" s="1"/>
    </row>
    <row r="16" spans="1:6" x14ac:dyDescent="0.25">
      <c r="A16" s="1"/>
      <c r="B16" s="37" t="s">
        <v>205</v>
      </c>
      <c r="C16" s="12">
        <f>SUM(C10:C15)</f>
        <v>3965058</v>
      </c>
      <c r="D16" s="13" t="s">
        <v>3</v>
      </c>
      <c r="E16" s="1"/>
      <c r="F16" s="1"/>
    </row>
    <row r="17" spans="1:6" x14ac:dyDescent="0.25">
      <c r="A17" s="1"/>
      <c r="B17" s="37" t="s">
        <v>206</v>
      </c>
      <c r="C17" s="12">
        <f>C16*(1+'Fane 14. Nøgletal'!C13)^2</f>
        <v>4062395.57443272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02" t="s">
        <v>176</v>
      </c>
      <c r="C20" s="103"/>
      <c r="D20" s="104"/>
      <c r="E20" s="1"/>
      <c r="F20" s="1"/>
    </row>
    <row r="21" spans="1:6" x14ac:dyDescent="0.25">
      <c r="A21" s="1"/>
      <c r="B21" s="49" t="s">
        <v>142</v>
      </c>
      <c r="C21" s="9">
        <v>2106226</v>
      </c>
      <c r="D21" s="14" t="s">
        <v>3</v>
      </c>
      <c r="E21" s="1"/>
      <c r="F21" s="1"/>
    </row>
    <row r="22" spans="1:6" x14ac:dyDescent="0.25">
      <c r="A22" s="1"/>
      <c r="B22" s="49" t="s">
        <v>143</v>
      </c>
      <c r="C22" s="9">
        <v>2106226</v>
      </c>
      <c r="D22" s="14" t="s">
        <v>3</v>
      </c>
      <c r="E22" s="1"/>
      <c r="F22" s="1"/>
    </row>
    <row r="23" spans="1:6" x14ac:dyDescent="0.25">
      <c r="A23" s="1"/>
      <c r="B23" s="49" t="s">
        <v>144</v>
      </c>
      <c r="C23" s="9">
        <v>2106226</v>
      </c>
      <c r="D23" s="14" t="s">
        <v>3</v>
      </c>
      <c r="E23" s="1"/>
      <c r="F23" s="1"/>
    </row>
    <row r="24" spans="1:6" x14ac:dyDescent="0.25">
      <c r="A24" s="1"/>
      <c r="B24" s="49" t="s">
        <v>207</v>
      </c>
      <c r="C24" s="9">
        <v>2106226</v>
      </c>
      <c r="D24" s="14" t="s">
        <v>3</v>
      </c>
      <c r="E24" s="1"/>
      <c r="F24" s="1"/>
    </row>
    <row r="25" spans="1:6" x14ac:dyDescent="0.25">
      <c r="A25" s="1"/>
      <c r="B25" s="102"/>
      <c r="C25" s="103"/>
      <c r="D25" s="104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02" t="s">
        <v>141</v>
      </c>
      <c r="C28" s="103"/>
      <c r="D28" s="104"/>
      <c r="E28" s="1"/>
      <c r="F28" s="1"/>
    </row>
    <row r="29" spans="1:6" x14ac:dyDescent="0.25">
      <c r="A29" s="1"/>
      <c r="B29" s="49" t="s">
        <v>142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9" t="s">
        <v>143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49" t="s">
        <v>144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49" t="s">
        <v>207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102"/>
      <c r="C33" s="103"/>
      <c r="D33" s="104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208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39"/>
      <c r="C6" s="39"/>
      <c r="D6" s="39"/>
      <c r="E6" s="39"/>
      <c r="F6" s="3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250</v>
      </c>
      <c r="C8" s="103"/>
      <c r="D8" s="103"/>
      <c r="E8" s="103"/>
      <c r="F8" s="104"/>
      <c r="G8" s="1"/>
    </row>
    <row r="9" spans="1:7" x14ac:dyDescent="0.25">
      <c r="A9" s="1"/>
      <c r="B9" s="99" t="s">
        <v>251</v>
      </c>
      <c r="C9" s="100"/>
      <c r="D9" s="101"/>
      <c r="E9" s="9">
        <v>95235227.862050399</v>
      </c>
      <c r="F9" s="14" t="s">
        <v>3</v>
      </c>
      <c r="G9" s="1"/>
    </row>
    <row r="10" spans="1:7" x14ac:dyDescent="0.25">
      <c r="A10" s="1"/>
      <c r="B10" s="99" t="s">
        <v>252</v>
      </c>
      <c r="C10" s="100"/>
      <c r="D10" s="101"/>
      <c r="E10" s="9">
        <v>81951357</v>
      </c>
      <c r="F10" s="14" t="s">
        <v>3</v>
      </c>
      <c r="G10" s="1"/>
    </row>
    <row r="11" spans="1:7" x14ac:dyDescent="0.25">
      <c r="A11" s="1"/>
      <c r="B11" s="99" t="s">
        <v>38</v>
      </c>
      <c r="C11" s="100"/>
      <c r="D11" s="101"/>
      <c r="E11" s="9">
        <v>0</v>
      </c>
      <c r="F11" s="14" t="s">
        <v>3</v>
      </c>
      <c r="G11" s="1"/>
    </row>
    <row r="12" spans="1:7" x14ac:dyDescent="0.25">
      <c r="A12" s="1"/>
      <c r="B12" s="86" t="s">
        <v>257</v>
      </c>
      <c r="C12" s="87"/>
      <c r="D12" s="88"/>
      <c r="E12" s="10">
        <f>E9-(E10-E11)</f>
        <v>13283870.862050399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74" t="s">
        <v>253</v>
      </c>
      <c r="C14" s="75"/>
      <c r="D14" s="75"/>
      <c r="E14" s="75"/>
      <c r="F14" s="76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02" t="s">
        <v>51</v>
      </c>
      <c r="C17" s="103"/>
      <c r="D17" s="103"/>
      <c r="E17" s="103"/>
      <c r="F17" s="104"/>
      <c r="G17" s="1"/>
    </row>
    <row r="18" spans="1:7" x14ac:dyDescent="0.25">
      <c r="A18" s="1"/>
      <c r="B18" s="99" t="s">
        <v>52</v>
      </c>
      <c r="C18" s="100"/>
      <c r="D18" s="101"/>
      <c r="E18" s="9">
        <v>99382923.415104136</v>
      </c>
      <c r="F18" s="14" t="s">
        <v>3</v>
      </c>
      <c r="G18" s="1"/>
    </row>
    <row r="19" spans="1:7" x14ac:dyDescent="0.25">
      <c r="A19" s="1"/>
      <c r="B19" s="99" t="s">
        <v>53</v>
      </c>
      <c r="C19" s="100"/>
      <c r="D19" s="101"/>
      <c r="E19" s="9">
        <v>87557114</v>
      </c>
      <c r="F19" s="14" t="s">
        <v>3</v>
      </c>
      <c r="G19" s="1"/>
    </row>
    <row r="20" spans="1:7" x14ac:dyDescent="0.25">
      <c r="A20" s="1"/>
      <c r="B20" s="99" t="s">
        <v>38</v>
      </c>
      <c r="C20" s="100"/>
      <c r="D20" s="101"/>
      <c r="E20" s="9">
        <v>0</v>
      </c>
      <c r="F20" s="14" t="s">
        <v>3</v>
      </c>
      <c r="G20" s="1"/>
    </row>
    <row r="21" spans="1:7" x14ac:dyDescent="0.25">
      <c r="A21" s="1"/>
      <c r="B21" s="86" t="s">
        <v>54</v>
      </c>
      <c r="C21" s="87"/>
      <c r="D21" s="88"/>
      <c r="E21" s="10">
        <f>E18-(E19-E20)</f>
        <v>11825809.415104136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74" t="s">
        <v>253</v>
      </c>
      <c r="C23" s="75"/>
      <c r="D23" s="75"/>
      <c r="E23" s="75"/>
      <c r="F23" s="76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02" t="s">
        <v>254</v>
      </c>
      <c r="C25" s="103"/>
      <c r="D25" s="103"/>
      <c r="E25" s="103"/>
      <c r="F25" s="104"/>
      <c r="G25" s="1"/>
    </row>
    <row r="26" spans="1:7" x14ac:dyDescent="0.25">
      <c r="A26" s="1"/>
      <c r="B26" s="99" t="s">
        <v>255</v>
      </c>
      <c r="C26" s="100"/>
      <c r="D26" s="101"/>
      <c r="E26" s="9">
        <v>98358384.984090418</v>
      </c>
      <c r="F26" s="14" t="s">
        <v>3</v>
      </c>
      <c r="G26" s="1"/>
    </row>
    <row r="27" spans="1:7" x14ac:dyDescent="0.25">
      <c r="A27" s="1"/>
      <c r="B27" s="99" t="s">
        <v>256</v>
      </c>
      <c r="C27" s="100"/>
      <c r="D27" s="101"/>
      <c r="E27" s="9">
        <v>87364363</v>
      </c>
      <c r="F27" s="14" t="s">
        <v>3</v>
      </c>
      <c r="G27" s="1"/>
    </row>
    <row r="28" spans="1:7" x14ac:dyDescent="0.25">
      <c r="A28" s="1"/>
      <c r="B28" s="99" t="s">
        <v>38</v>
      </c>
      <c r="C28" s="100"/>
      <c r="D28" s="101"/>
      <c r="E28" s="9">
        <v>0</v>
      </c>
      <c r="F28" s="14" t="s">
        <v>3</v>
      </c>
      <c r="G28" s="1"/>
    </row>
    <row r="29" spans="1:7" x14ac:dyDescent="0.25">
      <c r="A29" s="1"/>
      <c r="B29" s="86" t="s">
        <v>258</v>
      </c>
      <c r="C29" s="87"/>
      <c r="D29" s="88"/>
      <c r="E29" s="10">
        <f>E26-(E27-E28)</f>
        <v>10994021.984090418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259</v>
      </c>
      <c r="C32" s="103"/>
      <c r="D32" s="103"/>
      <c r="E32" s="103"/>
      <c r="F32" s="104"/>
      <c r="G32" s="1"/>
    </row>
    <row r="33" spans="1:7" x14ac:dyDescent="0.2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0</v>
      </c>
      <c r="F33" s="14" t="s">
        <v>3</v>
      </c>
      <c r="G33" s="1"/>
    </row>
    <row r="34" spans="1:7" x14ac:dyDescent="0.2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25">
      <c r="A35" s="1"/>
      <c r="B35" s="113" t="s">
        <v>262</v>
      </c>
      <c r="C35" s="113"/>
      <c r="D35" s="113"/>
      <c r="E35" s="10">
        <f>E33/E34</f>
        <v>0</v>
      </c>
      <c r="F35" s="17" t="s">
        <v>3</v>
      </c>
      <c r="G35" s="1"/>
    </row>
    <row r="36" spans="1:7" x14ac:dyDescent="0.25">
      <c r="A36" s="1"/>
      <c r="B36" s="114"/>
      <c r="C36" s="115"/>
      <c r="D36" s="115"/>
      <c r="E36" s="115"/>
      <c r="F36" s="11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9:D29"/>
    <mergeCell ref="B23:F23"/>
    <mergeCell ref="B25:F25"/>
    <mergeCell ref="B26:D26"/>
    <mergeCell ref="B27:D27"/>
    <mergeCell ref="B28:D28"/>
    <mergeCell ref="B32:F32"/>
    <mergeCell ref="B33:D33"/>
    <mergeCell ref="B34:D34"/>
    <mergeCell ref="B35:D35"/>
    <mergeCell ref="B36:F36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209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2" t="s">
        <v>210</v>
      </c>
      <c r="C9" s="103"/>
      <c r="D9" s="103"/>
      <c r="E9" s="103"/>
      <c r="F9" s="103"/>
      <c r="G9" s="1"/>
    </row>
    <row r="10" spans="1:7" x14ac:dyDescent="0.25">
      <c r="A10" s="1"/>
      <c r="B10" s="74" t="s">
        <v>145</v>
      </c>
      <c r="C10" s="75"/>
      <c r="D10" s="76"/>
      <c r="E10" s="7">
        <v>0</v>
      </c>
      <c r="F10" s="8" t="s">
        <v>3</v>
      </c>
      <c r="G10" s="1"/>
    </row>
    <row r="11" spans="1:7" x14ac:dyDescent="0.2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25">
      <c r="A12" s="1"/>
      <c r="B12" s="86" t="s">
        <v>146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102" t="s">
        <v>133</v>
      </c>
      <c r="C13" s="103"/>
      <c r="D13" s="103"/>
      <c r="E13" s="103"/>
      <c r="F13" s="103"/>
      <c r="G13" s="1"/>
    </row>
    <row r="14" spans="1:7" x14ac:dyDescent="0.25">
      <c r="A14" s="1"/>
      <c r="B14" s="99" t="s">
        <v>212</v>
      </c>
      <c r="C14" s="100"/>
      <c r="D14" s="101"/>
      <c r="E14" s="9">
        <v>2761640</v>
      </c>
      <c r="F14" s="8" t="s">
        <v>3</v>
      </c>
      <c r="G14" s="1"/>
    </row>
    <row r="15" spans="1:7" x14ac:dyDescent="0.25">
      <c r="A15" s="1"/>
      <c r="B15" s="74" t="s">
        <v>213</v>
      </c>
      <c r="C15" s="75"/>
      <c r="D15" s="76"/>
      <c r="E15" s="9">
        <v>1276494</v>
      </c>
      <c r="F15" s="8" t="s">
        <v>3</v>
      </c>
      <c r="G15" s="1"/>
    </row>
    <row r="16" spans="1:7" x14ac:dyDescent="0.25">
      <c r="A16" s="1"/>
      <c r="B16" s="86" t="s">
        <v>146</v>
      </c>
      <c r="C16" s="87"/>
      <c r="D16" s="88"/>
      <c r="E16" s="10">
        <f>E15-E14</f>
        <v>-1485146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-1485146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236</v>
      </c>
      <c r="C8" s="103"/>
      <c r="D8" s="103"/>
      <c r="E8" s="103"/>
      <c r="F8" s="103"/>
      <c r="G8" s="103"/>
      <c r="H8" s="10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25">
      <c r="A10" s="1"/>
      <c r="B10" s="51" t="s">
        <v>283</v>
      </c>
      <c r="C10" s="12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102" t="s">
        <v>237</v>
      </c>
      <c r="C11" s="103"/>
      <c r="D11" s="10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25">
      <c r="A10" s="1"/>
      <c r="B10" s="25" t="s">
        <v>238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5" t="s">
        <v>278</v>
      </c>
      <c r="C11" s="22">
        <v>0</v>
      </c>
      <c r="D11" s="14" t="s">
        <v>3</v>
      </c>
      <c r="E11" s="9">
        <v>818917</v>
      </c>
      <c r="F11" s="14" t="s">
        <v>3</v>
      </c>
      <c r="G11" s="1"/>
    </row>
    <row r="12" spans="1:7" x14ac:dyDescent="0.25">
      <c r="A12" s="1"/>
      <c r="B12" s="123" t="s">
        <v>279</v>
      </c>
      <c r="C12" s="22">
        <v>529665</v>
      </c>
      <c r="D12" s="14" t="s">
        <v>3</v>
      </c>
      <c r="E12" s="9">
        <v>874925</v>
      </c>
      <c r="F12" s="14" t="s">
        <v>3</v>
      </c>
      <c r="G12" s="1"/>
    </row>
    <row r="13" spans="1:7" x14ac:dyDescent="0.25">
      <c r="A13" s="1"/>
      <c r="B13" s="25" t="s">
        <v>280</v>
      </c>
      <c r="C13" s="22">
        <v>53924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37" t="s">
        <v>49</v>
      </c>
      <c r="C14" s="12">
        <f>SUM(C10:C13)</f>
        <v>583589</v>
      </c>
      <c r="D14" s="13" t="s">
        <v>3</v>
      </c>
      <c r="E14" s="12">
        <f>SUM(E10:E13)</f>
        <v>1693842</v>
      </c>
      <c r="F14" s="13" t="s">
        <v>3</v>
      </c>
      <c r="G14" s="1"/>
    </row>
    <row r="15" spans="1:7" x14ac:dyDescent="0.25">
      <c r="A15" s="1"/>
      <c r="B15" s="37" t="s">
        <v>215</v>
      </c>
      <c r="C15" s="12">
        <f>C14*(1+'Fane 14. Nøgletal'!C13)</f>
        <v>590708.78579999995</v>
      </c>
      <c r="D15" s="13" t="s">
        <v>3</v>
      </c>
      <c r="E15" s="12">
        <f>E14*(1+'Fane 14. Nøgletal'!C13)</f>
        <v>1714506.8724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fg0DnAm/gPhafmzBTlR5AsApG+V1nMACawnP8kFwfbtUbwRYsBcc2d4L8KC0Icfswh1/7s1d8cKtWPLVwyy0ug==" saltValue="BY8USd9XEDrSWLZ8HTjHg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136</v>
      </c>
      <c r="C8" s="103"/>
      <c r="D8" s="103"/>
      <c r="E8" s="103"/>
      <c r="F8" s="104"/>
      <c r="G8" s="1"/>
    </row>
    <row r="9" spans="1:7" x14ac:dyDescent="0.2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25">
      <c r="A10" s="1"/>
      <c r="B10" s="25" t="s">
        <v>281</v>
      </c>
      <c r="C10" s="22">
        <v>412316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123" t="s">
        <v>280</v>
      </c>
      <c r="C11" s="22">
        <v>539239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37" t="s">
        <v>216</v>
      </c>
      <c r="C12" s="12">
        <f>SUM(C10:C11)</f>
        <v>951555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27" t="s">
        <v>10</v>
      </c>
      <c r="C13" s="28">
        <f>-C12*'Fane 5. Individuelt eff. krav'!G10</f>
        <v>0</v>
      </c>
      <c r="D13" s="29" t="s">
        <v>3</v>
      </c>
      <c r="E13" s="28">
        <f>-E12*'Fane 5. Individuelt eff. krav'!G10</f>
        <v>0</v>
      </c>
      <c r="F13" s="29" t="s">
        <v>3</v>
      </c>
      <c r="G13" s="1"/>
    </row>
    <row r="14" spans="1:7" x14ac:dyDescent="0.25">
      <c r="A14" s="1"/>
      <c r="B14" s="27" t="s">
        <v>140</v>
      </c>
      <c r="C14" s="28">
        <f>-C12*'Fane 14. Nøgletal'!C27</f>
        <v>-19031.100000000002</v>
      </c>
      <c r="D14" s="29" t="s">
        <v>3</v>
      </c>
      <c r="E14" s="28">
        <f>-E12*'Fane 14. Nøgletal'!C22</f>
        <v>0</v>
      </c>
      <c r="F14" s="29" t="s">
        <v>3</v>
      </c>
      <c r="G14" s="1"/>
    </row>
    <row r="15" spans="1:7" x14ac:dyDescent="0.25">
      <c r="A15" s="1"/>
      <c r="B15" s="37" t="s">
        <v>139</v>
      </c>
      <c r="C15" s="12">
        <f>SUM(C12:C14)*(1+'Fane 14. Nøgletal'!C13)^2</f>
        <v>955416.28001727606</v>
      </c>
      <c r="D15" s="13" t="s">
        <v>3</v>
      </c>
      <c r="E15" s="12">
        <f>SUM(E12:E14)*(1+'Fane 14. Nøgletal'!C13)^2</f>
        <v>0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02" t="s">
        <v>137</v>
      </c>
      <c r="C17" s="103"/>
      <c r="D17" s="103"/>
      <c r="E17" s="103"/>
      <c r="F17" s="104"/>
      <c r="G17" s="1"/>
    </row>
    <row r="18" spans="1:7" x14ac:dyDescent="0.25">
      <c r="A18" s="1"/>
      <c r="B18" s="43" t="s">
        <v>18</v>
      </c>
      <c r="C18" s="43" t="s">
        <v>12</v>
      </c>
      <c r="D18" s="44"/>
      <c r="E18" s="43" t="s">
        <v>36</v>
      </c>
      <c r="F18" s="53"/>
      <c r="G18" s="1"/>
    </row>
    <row r="19" spans="1:7" x14ac:dyDescent="0.25">
      <c r="A19" s="1"/>
      <c r="B19" s="25" t="s">
        <v>282</v>
      </c>
      <c r="C19" s="22">
        <v>0</v>
      </c>
      <c r="D19" s="14" t="s">
        <v>3</v>
      </c>
      <c r="E19" s="9">
        <v>0</v>
      </c>
      <c r="F19" s="14" t="s">
        <v>3</v>
      </c>
      <c r="G19" s="1"/>
    </row>
    <row r="20" spans="1:7" x14ac:dyDescent="0.25">
      <c r="A20" s="1"/>
      <c r="B20" s="37" t="s">
        <v>216</v>
      </c>
      <c r="C20" s="12">
        <f>SUM(C19:C19)</f>
        <v>0</v>
      </c>
      <c r="D20" s="13" t="s">
        <v>3</v>
      </c>
      <c r="E20" s="12">
        <f>SUM(E19:E19)</f>
        <v>0</v>
      </c>
      <c r="F20" s="13" t="s">
        <v>3</v>
      </c>
      <c r="G20" s="1"/>
    </row>
    <row r="21" spans="1:7" x14ac:dyDescent="0.25">
      <c r="A21" s="1"/>
      <c r="B21" s="27" t="s">
        <v>10</v>
      </c>
      <c r="C21" s="28">
        <f>-C20*'Fane 5. Individuelt eff. krav'!G10</f>
        <v>0</v>
      </c>
      <c r="D21" s="29" t="s">
        <v>3</v>
      </c>
      <c r="E21" s="28">
        <f>-E20*'Fane 5. Individuelt eff. krav'!G10</f>
        <v>0</v>
      </c>
      <c r="F21" s="29" t="s">
        <v>3</v>
      </c>
      <c r="G21" s="1"/>
    </row>
    <row r="22" spans="1:7" x14ac:dyDescent="0.25">
      <c r="A22" s="1"/>
      <c r="B22" s="27" t="s">
        <v>140</v>
      </c>
      <c r="C22" s="28">
        <f>-C20*'Fane 14. Nøgletal'!C27</f>
        <v>0</v>
      </c>
      <c r="D22" s="29" t="s">
        <v>3</v>
      </c>
      <c r="E22" s="28">
        <f>-E20*'Fane 14. Nøgletal'!C22</f>
        <v>0</v>
      </c>
      <c r="F22" s="29" t="s">
        <v>3</v>
      </c>
      <c r="G22" s="1"/>
    </row>
    <row r="23" spans="1:7" x14ac:dyDescent="0.25">
      <c r="A23" s="1"/>
      <c r="B23" s="37" t="s">
        <v>217</v>
      </c>
      <c r="C23" s="12">
        <f>SUM(C20:C22)*(1+'Fane 14. Nøgletal'!C13)^3</f>
        <v>0</v>
      </c>
      <c r="D23" s="13" t="s">
        <v>3</v>
      </c>
      <c r="E23" s="12">
        <f>SUM(E20:E22)*(1+'Fane 14. Nøgletal'!C13)^3</f>
        <v>0</v>
      </c>
      <c r="F23" s="13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02" t="s">
        <v>138</v>
      </c>
      <c r="C25" s="103"/>
      <c r="D25" s="103"/>
      <c r="E25" s="103"/>
      <c r="F25" s="104"/>
      <c r="G25" s="1"/>
    </row>
    <row r="26" spans="1:7" x14ac:dyDescent="0.25">
      <c r="A26" s="1"/>
      <c r="B26" s="43" t="s">
        <v>18</v>
      </c>
      <c r="C26" s="43" t="s">
        <v>12</v>
      </c>
      <c r="D26" s="44"/>
      <c r="E26" s="43" t="s">
        <v>36</v>
      </c>
      <c r="F26" s="53"/>
      <c r="G26" s="1"/>
    </row>
    <row r="27" spans="1:7" x14ac:dyDescent="0.25">
      <c r="A27" s="1"/>
      <c r="B27" s="25" t="s">
        <v>282</v>
      </c>
      <c r="C27" s="22">
        <v>0</v>
      </c>
      <c r="D27" s="14" t="s">
        <v>3</v>
      </c>
      <c r="E27" s="9">
        <v>0</v>
      </c>
      <c r="F27" s="14" t="s">
        <v>3</v>
      </c>
      <c r="G27" s="1"/>
    </row>
    <row r="28" spans="1:7" x14ac:dyDescent="0.25">
      <c r="A28" s="1"/>
      <c r="B28" s="37" t="s">
        <v>216</v>
      </c>
      <c r="C28" s="12">
        <f>SUM(C27:C27)</f>
        <v>0</v>
      </c>
      <c r="D28" s="13" t="s">
        <v>3</v>
      </c>
      <c r="E28" s="12">
        <f>SUM(E27:E27)</f>
        <v>0</v>
      </c>
      <c r="F28" s="13" t="s">
        <v>3</v>
      </c>
      <c r="G28" s="1"/>
    </row>
    <row r="29" spans="1:7" x14ac:dyDescent="0.25">
      <c r="A29" s="1"/>
      <c r="B29" s="27" t="s">
        <v>10</v>
      </c>
      <c r="C29" s="28">
        <f>-C28*'Fane 5. Individuelt eff. krav'!G10</f>
        <v>0</v>
      </c>
      <c r="D29" s="29" t="s">
        <v>3</v>
      </c>
      <c r="E29" s="28">
        <f>-E28*'Fane 5. Individuelt eff. krav'!G10</f>
        <v>0</v>
      </c>
      <c r="F29" s="29" t="s">
        <v>3</v>
      </c>
      <c r="G29" s="1"/>
    </row>
    <row r="30" spans="1:7" x14ac:dyDescent="0.25">
      <c r="A30" s="1"/>
      <c r="B30" s="27" t="s">
        <v>140</v>
      </c>
      <c r="C30" s="28">
        <f>-C28*'Fane 14. Nøgletal'!C27</f>
        <v>0</v>
      </c>
      <c r="D30" s="29" t="s">
        <v>3</v>
      </c>
      <c r="E30" s="28">
        <f>-E28*'Fane 14. Nøgletal'!C22</f>
        <v>0</v>
      </c>
      <c r="F30" s="29" t="s">
        <v>3</v>
      </c>
      <c r="G30" s="1"/>
    </row>
    <row r="31" spans="1:7" x14ac:dyDescent="0.25">
      <c r="A31" s="1"/>
      <c r="B31" s="37" t="s">
        <v>217</v>
      </c>
      <c r="C31" s="12">
        <f>SUM(C28:C30)*(1+'Fane 14. Nøgletal'!C13)^4</f>
        <v>0</v>
      </c>
      <c r="D31" s="13" t="s">
        <v>3</v>
      </c>
      <c r="E31" s="12">
        <f>SUM(E28:E30)*(1+'Fane 14. Nøgletal'!C13)^4</f>
        <v>0</v>
      </c>
      <c r="F31" s="13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02" t="s">
        <v>218</v>
      </c>
      <c r="C33" s="103"/>
      <c r="D33" s="103"/>
      <c r="E33" s="103"/>
      <c r="F33" s="104"/>
      <c r="G33" s="1"/>
    </row>
    <row r="34" spans="1:7" x14ac:dyDescent="0.25">
      <c r="A34" s="1"/>
      <c r="B34" s="43" t="s">
        <v>18</v>
      </c>
      <c r="C34" s="43" t="s">
        <v>12</v>
      </c>
      <c r="D34" s="44"/>
      <c r="E34" s="43" t="s">
        <v>36</v>
      </c>
      <c r="F34" s="53"/>
      <c r="G34" s="1"/>
    </row>
    <row r="35" spans="1:7" x14ac:dyDescent="0.25">
      <c r="A35" s="1"/>
      <c r="B35" s="25" t="s">
        <v>282</v>
      </c>
      <c r="C35" s="22">
        <v>0</v>
      </c>
      <c r="D35" s="14" t="s">
        <v>3</v>
      </c>
      <c r="E35" s="9">
        <v>0</v>
      </c>
      <c r="F35" s="14" t="s">
        <v>3</v>
      </c>
      <c r="G35" s="1"/>
    </row>
    <row r="36" spans="1:7" x14ac:dyDescent="0.25">
      <c r="A36" s="1"/>
      <c r="B36" s="37" t="s">
        <v>216</v>
      </c>
      <c r="C36" s="12">
        <f>SUM(C35:C35)</f>
        <v>0</v>
      </c>
      <c r="D36" s="13" t="s">
        <v>3</v>
      </c>
      <c r="E36" s="12">
        <f>SUM(E35:E35)</f>
        <v>0</v>
      </c>
      <c r="F36" s="13" t="s">
        <v>3</v>
      </c>
      <c r="G36" s="1"/>
    </row>
    <row r="37" spans="1:7" x14ac:dyDescent="0.25">
      <c r="A37" s="1"/>
      <c r="B37" s="27" t="s">
        <v>10</v>
      </c>
      <c r="C37" s="28">
        <f>-C36*'Fane 5. Individuelt eff. krav'!G10</f>
        <v>0</v>
      </c>
      <c r="D37" s="29" t="s">
        <v>3</v>
      </c>
      <c r="E37" s="28">
        <f>-E36*'Fane 5. Individuelt eff. krav'!G10</f>
        <v>0</v>
      </c>
      <c r="F37" s="29" t="s">
        <v>3</v>
      </c>
      <c r="G37" s="1"/>
    </row>
    <row r="38" spans="1:7" x14ac:dyDescent="0.25">
      <c r="A38" s="1"/>
      <c r="B38" s="27" t="s">
        <v>140</v>
      </c>
      <c r="C38" s="28">
        <f>-C36*'Fane 14. Nøgletal'!C27</f>
        <v>0</v>
      </c>
      <c r="D38" s="29" t="s">
        <v>3</v>
      </c>
      <c r="E38" s="28">
        <f>-E36*'Fane 14. Nøgletal'!C22</f>
        <v>0</v>
      </c>
      <c r="F38" s="29" t="s">
        <v>3</v>
      </c>
      <c r="G38" s="1"/>
    </row>
    <row r="39" spans="1:7" x14ac:dyDescent="0.25">
      <c r="A39" s="1"/>
      <c r="B39" s="37" t="s">
        <v>217</v>
      </c>
      <c r="C39" s="12">
        <f>SUM(C36:C38)*(1+'Fane 14. Nøgletal'!C13)^5</f>
        <v>0</v>
      </c>
      <c r="D39" s="13" t="s">
        <v>3</v>
      </c>
      <c r="E39" s="12">
        <f>SUM(E36:E38)*(1+'Fane 14. Nøgletal'!C13)^5</f>
        <v>0</v>
      </c>
      <c r="F39" s="13" t="s">
        <v>3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TYDzRUwdy08+bosjGQFjtP4mFmZR/OtU3XVGzviy6mqSBF0PFTop0p6ca6wO6alGiBskC+FAD6bEa0gml5efQQ==" saltValue="AiCST0MN4/5DwvJGTzwKig==" spinCount="100000" sheet="1" objects="1" scenarios="1"/>
  <mergeCells count="5">
    <mergeCell ref="B3:F4"/>
    <mergeCell ref="B8:F8"/>
    <mergeCell ref="B17:F17"/>
    <mergeCell ref="B25:F25"/>
    <mergeCell ref="B33:F3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175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123</v>
      </c>
      <c r="C8" s="103"/>
      <c r="D8" s="103"/>
      <c r="E8" s="103"/>
      <c r="F8" s="104"/>
      <c r="G8" s="1"/>
    </row>
    <row r="9" spans="1:7" x14ac:dyDescent="0.2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9" t="s">
        <v>29</v>
      </c>
      <c r="C11" s="90"/>
      <c r="D11" s="91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102" t="s">
        <v>126</v>
      </c>
      <c r="C12" s="103"/>
      <c r="D12" s="104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124</v>
      </c>
      <c r="C14" s="103"/>
      <c r="D14" s="103"/>
      <c r="E14" s="103"/>
      <c r="F14" s="104"/>
      <c r="G14" s="1"/>
    </row>
    <row r="15" spans="1:7" x14ac:dyDescent="0.2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9" t="s">
        <v>29</v>
      </c>
      <c r="C17" s="90"/>
      <c r="D17" s="91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102" t="s">
        <v>127</v>
      </c>
      <c r="C18" s="103"/>
      <c r="D18" s="104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2" t="s">
        <v>125</v>
      </c>
      <c r="C20" s="103"/>
      <c r="D20" s="103"/>
      <c r="E20" s="103"/>
      <c r="F20" s="104"/>
      <c r="G20" s="1"/>
    </row>
    <row r="21" spans="1:7" x14ac:dyDescent="0.2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9" t="s">
        <v>29</v>
      </c>
      <c r="C23" s="90"/>
      <c r="D23" s="91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102" t="s">
        <v>128</v>
      </c>
      <c r="C24" s="103"/>
      <c r="D24" s="104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2" t="s">
        <v>220</v>
      </c>
      <c r="C26" s="103"/>
      <c r="D26" s="103"/>
      <c r="E26" s="103"/>
      <c r="F26" s="104"/>
      <c r="G26" s="1"/>
    </row>
    <row r="27" spans="1:7" x14ac:dyDescent="0.2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9" t="s">
        <v>29</v>
      </c>
      <c r="C29" s="90"/>
      <c r="D29" s="91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102" t="s">
        <v>221</v>
      </c>
      <c r="C30" s="103"/>
      <c r="D30" s="104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223</v>
      </c>
      <c r="C8" s="103"/>
      <c r="D8" s="103"/>
      <c r="E8" s="103"/>
      <c r="F8" s="104"/>
      <c r="G8" s="1"/>
    </row>
    <row r="9" spans="1:7" ht="15" customHeight="1" x14ac:dyDescent="0.25">
      <c r="A9" s="1"/>
      <c r="B9" s="52" t="s">
        <v>224</v>
      </c>
      <c r="C9" s="77" t="s">
        <v>12</v>
      </c>
      <c r="D9" s="79"/>
      <c r="E9" s="120" t="s">
        <v>36</v>
      </c>
      <c r="F9" s="121"/>
      <c r="G9" s="1"/>
    </row>
    <row r="10" spans="1:7" x14ac:dyDescent="0.25">
      <c r="A10" s="1"/>
      <c r="B10" s="25" t="s">
        <v>276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162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130</v>
      </c>
      <c r="C8" s="103"/>
      <c r="D8" s="103"/>
      <c r="E8" s="103"/>
      <c r="F8" s="104"/>
      <c r="G8" s="1"/>
    </row>
    <row r="9" spans="1:7" ht="15" customHeight="1" x14ac:dyDescent="0.2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25">
      <c r="A10" s="1"/>
      <c r="B10" s="25" t="s">
        <v>277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129</v>
      </c>
      <c r="C14" s="103"/>
      <c r="D14" s="103"/>
      <c r="E14" s="103"/>
      <c r="F14" s="104"/>
      <c r="G14" s="1"/>
    </row>
    <row r="15" spans="1:7" ht="26.25" x14ac:dyDescent="0.2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25">
      <c r="A16" s="1"/>
      <c r="B16" s="25" t="s">
        <v>277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2" t="s">
        <v>131</v>
      </c>
      <c r="C20" s="103"/>
      <c r="D20" s="103"/>
      <c r="E20" s="103"/>
      <c r="F20" s="104"/>
      <c r="G20" s="1"/>
    </row>
    <row r="21" spans="1:7" ht="26.25" x14ac:dyDescent="0.2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25">
      <c r="A22" s="1"/>
      <c r="B22" s="25" t="s">
        <v>277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2" t="s">
        <v>227</v>
      </c>
      <c r="C26" s="103"/>
      <c r="D26" s="103"/>
      <c r="E26" s="103"/>
      <c r="F26" s="104"/>
      <c r="G26" s="1"/>
    </row>
    <row r="27" spans="1:7" ht="26.25" x14ac:dyDescent="0.2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25">
      <c r="A28" s="1"/>
      <c r="B28" s="25" t="s">
        <v>277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265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49" t="s">
        <v>168</v>
      </c>
      <c r="C9" s="26">
        <v>1.2699999999999999E-2</v>
      </c>
      <c r="D9" s="1"/>
    </row>
    <row r="10" spans="1:4" x14ac:dyDescent="0.25">
      <c r="A10" s="1"/>
      <c r="B10" s="49" t="s">
        <v>169</v>
      </c>
      <c r="C10" s="26">
        <v>1.7500000000000002E-2</v>
      </c>
      <c r="D10" s="1"/>
    </row>
    <row r="11" spans="1:4" x14ac:dyDescent="0.25">
      <c r="A11" s="1"/>
      <c r="B11" s="49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49" t="s">
        <v>170</v>
      </c>
      <c r="C18" s="23">
        <v>9.1000000000000004E-3</v>
      </c>
      <c r="D18" s="1"/>
    </row>
    <row r="19" spans="1:4" x14ac:dyDescent="0.25">
      <c r="A19" s="1"/>
      <c r="B19" s="49" t="s">
        <v>172</v>
      </c>
      <c r="C19" s="23">
        <v>1.77E-2</v>
      </c>
      <c r="D19" s="1"/>
    </row>
    <row r="20" spans="1:4" x14ac:dyDescent="0.25">
      <c r="A20" s="1"/>
      <c r="B20" s="49" t="s">
        <v>171</v>
      </c>
      <c r="C20" s="23">
        <v>8.6999999999999994E-3</v>
      </c>
      <c r="D20" s="1"/>
    </row>
    <row r="21" spans="1:4" x14ac:dyDescent="0.25">
      <c r="A21" s="1"/>
      <c r="B21" s="49" t="s">
        <v>173</v>
      </c>
      <c r="C21" s="33">
        <v>2.8400000000000002E-2</v>
      </c>
      <c r="D21" s="1"/>
    </row>
    <row r="22" spans="1:4" x14ac:dyDescent="0.25">
      <c r="A22" s="1"/>
      <c r="B22" s="49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49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0" t="s">
        <v>27</v>
      </c>
      <c r="C9" s="7">
        <f>'Fane 3. Omkostninger i ØR2020'!E22</f>
        <v>96140839.467684329</v>
      </c>
      <c r="D9" s="8" t="s">
        <v>3</v>
      </c>
      <c r="E9" s="1"/>
    </row>
    <row r="10" spans="1:5" x14ac:dyDescent="0.25">
      <c r="A10" s="1"/>
      <c r="B10" s="50" t="s">
        <v>231</v>
      </c>
      <c r="C10" s="7">
        <f>'Fane 3. Omkostninger i ØR2020'!E10*(1+'Fane 14. Nøgletal'!C11)*(1-'Fane 14. Nøgletal'!C27-'Fane 5. Individuelt eff. krav'!G10)</f>
        <v>279042.86477921443</v>
      </c>
      <c r="D10" s="8" t="s">
        <v>3</v>
      </c>
      <c r="E10" s="1"/>
    </row>
    <row r="11" spans="1:5" x14ac:dyDescent="0.25">
      <c r="A11" s="1"/>
      <c r="B11" s="50" t="s">
        <v>232</v>
      </c>
      <c r="C11" s="7">
        <f>'Fane 3. Omkostninger i ØR2020'!E11*(1+'Fane 14. Nøgletal'!C11)*(1-'Fane 14. Nøgletal'!C20-'Fane 5. Individuelt eff. krav'!G10)</f>
        <v>1638653.2698890702</v>
      </c>
      <c r="D11" s="8" t="s">
        <v>3</v>
      </c>
      <c r="E11" s="1"/>
    </row>
    <row r="12" spans="1:5" ht="17.100000000000001" customHeight="1" x14ac:dyDescent="0.2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764793.4830149</v>
      </c>
      <c r="D12" s="8" t="s">
        <v>3</v>
      </c>
      <c r="E12" s="1"/>
    </row>
    <row r="13" spans="1:5" ht="17.100000000000001" customHeight="1" x14ac:dyDescent="0.2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3103724.5912745153</v>
      </c>
      <c r="D13" s="8" t="s">
        <v>3</v>
      </c>
      <c r="E13" s="1"/>
    </row>
    <row r="14" spans="1:5" ht="17.100000000000001" customHeight="1" x14ac:dyDescent="0.25">
      <c r="A14" s="1"/>
      <c r="B14" s="42" t="s">
        <v>46</v>
      </c>
      <c r="C14" s="7">
        <f>'Fane 10.1. Varige tillæg'!C15</f>
        <v>590708.78579999995</v>
      </c>
      <c r="D14" s="8" t="s">
        <v>3</v>
      </c>
      <c r="E14" s="1"/>
    </row>
    <row r="15" spans="1:5" ht="17.100000000000001" customHeight="1" x14ac:dyDescent="0.25">
      <c r="A15" s="1"/>
      <c r="B15" s="42" t="s">
        <v>47</v>
      </c>
      <c r="C15" s="9">
        <f>'Fane 10.1. Varige tillæg'!E15</f>
        <v>1714506.8724</v>
      </c>
      <c r="D15" s="8" t="s">
        <v>3</v>
      </c>
      <c r="E15" s="1"/>
    </row>
    <row r="16" spans="1:5" ht="17.100000000000001" customHeight="1" x14ac:dyDescent="0.25">
      <c r="A16" s="1"/>
      <c r="B16" s="42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2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2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2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2" t="s">
        <v>20</v>
      </c>
      <c r="C20" s="9">
        <f>(C9-SUM(C10:C13))*'Fane 14. Nøgletal'!C10+SUM(C10:C11)*'Fane 14. Nøgletal'!C11+SUM(C12:C13)*'Fane 14. Nøgletal'!C12+SUM(C14:C19)*'Fane 14. Nøgletal'!C13</f>
        <v>1717948.4437971518</v>
      </c>
      <c r="D20" s="8" t="s">
        <v>3</v>
      </c>
      <c r="E20" s="1"/>
    </row>
    <row r="21" spans="1:5" ht="17.100000000000001" customHeight="1" x14ac:dyDescent="0.25">
      <c r="A21" s="1"/>
      <c r="B21" s="42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2" t="s">
        <v>29</v>
      </c>
      <c r="C22" s="9">
        <f>-'Fane 4.1. Gen. krav - drift'!G36</f>
        <v>-567085.38112216617</v>
      </c>
      <c r="D22" s="8" t="s">
        <v>3</v>
      </c>
      <c r="E22" s="1"/>
    </row>
    <row r="23" spans="1:5" ht="15" customHeight="1" x14ac:dyDescent="0.25">
      <c r="A23" s="1"/>
      <c r="B23" s="42" t="s">
        <v>30</v>
      </c>
      <c r="C23" s="9">
        <f>-'Fane 4.2. Gen. krav - anlæg'!G35</f>
        <v>-1308357.7176736302</v>
      </c>
      <c r="D23" s="8" t="s">
        <v>3</v>
      </c>
      <c r="E23" s="1"/>
    </row>
    <row r="24" spans="1:5" ht="15" customHeight="1" x14ac:dyDescent="0.25">
      <c r="A24" s="1"/>
      <c r="B24" s="48" t="s">
        <v>22</v>
      </c>
      <c r="C24" s="10">
        <f>SUM(C9,C14:C23)</f>
        <v>98288560.470885679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2" t="s">
        <v>13</v>
      </c>
      <c r="C26" s="10">
        <f>'Fane 6. Ikke-påvirkelige omk.'!C17+'Fane 6. Ikke-påvirkelige omk.'!C21+'Fane 6. Ikke-påvirkelige omk.'!C29</f>
        <v>6168621.5744327195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8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2" t="s">
        <v>106</v>
      </c>
      <c r="C30" s="9">
        <f>'Fane 10.2. Engangstillæg'!C15</f>
        <v>955416.28001727606</v>
      </c>
      <c r="D30" s="8" t="s">
        <v>3</v>
      </c>
      <c r="E30" s="1"/>
    </row>
    <row r="31" spans="1:5" ht="15" customHeight="1" x14ac:dyDescent="0.25">
      <c r="A31" s="1"/>
      <c r="B31" s="42" t="s">
        <v>107</v>
      </c>
      <c r="C31" s="9">
        <f>'Fane 10.2. Engangstillæg'!E15</f>
        <v>0</v>
      </c>
      <c r="D31" s="8" t="s">
        <v>3</v>
      </c>
      <c r="E31" s="1"/>
    </row>
    <row r="32" spans="1:5" x14ac:dyDescent="0.25">
      <c r="A32" s="1"/>
      <c r="B32" s="48" t="s">
        <v>112</v>
      </c>
      <c r="C32" s="10">
        <f>SUM(C30:C31)</f>
        <v>955416.28001727606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2" t="s">
        <v>191</v>
      </c>
      <c r="C34" s="10">
        <f>'Fane 8. Korrektion af ØR2019'!E17</f>
        <v>-1485146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103927452.32533567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0" t="s">
        <v>28</v>
      </c>
      <c r="C9" s="7">
        <f>'Fane 2.1. Økonomisk ramme 2021'!C24</f>
        <v>98288560.470885679</v>
      </c>
      <c r="D9" s="8" t="s">
        <v>3</v>
      </c>
      <c r="E9" s="1"/>
    </row>
    <row r="10" spans="1:5" ht="15" customHeight="1" x14ac:dyDescent="0.25">
      <c r="A10" s="1"/>
      <c r="B10" s="42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2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20</v>
      </c>
      <c r="C12" s="9">
        <f>SUM(C9:C11)*'Fane 14. Nøgletal'!C13</f>
        <v>1199120.4377448054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29</v>
      </c>
      <c r="C14" s="9">
        <f>-'Fane 4.1. Gen. krav - drift'!G42</f>
        <v>-562523.74631641957</v>
      </c>
      <c r="D14" s="8" t="s">
        <v>3</v>
      </c>
      <c r="E14" s="1"/>
    </row>
    <row r="15" spans="1:5" ht="15" customHeight="1" x14ac:dyDescent="0.25">
      <c r="A15" s="1"/>
      <c r="B15" s="41" t="s">
        <v>30</v>
      </c>
      <c r="C15" s="9">
        <f>-'Fane 4.2. Gen. krav - anlæg'!G41</f>
        <v>-1964723.4186547105</v>
      </c>
      <c r="D15" s="8" t="s">
        <v>3</v>
      </c>
      <c r="E15" s="1"/>
    </row>
    <row r="16" spans="1:5" ht="15" customHeight="1" x14ac:dyDescent="0.25">
      <c r="A16" s="1"/>
      <c r="B16" s="45" t="s">
        <v>22</v>
      </c>
      <c r="C16" s="10">
        <f>SUM(C9:C15)</f>
        <v>96960433.743659362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2" t="s">
        <v>13</v>
      </c>
      <c r="C18" s="10">
        <f>'Fane 6. Ikke-påvirkelige omk.'!C17*(1+'Fane 14. Nøgletal'!C13)+'Fane 6. Ikke-påvirkelige omk.'!C22+'Fane 6. Ikke-påvirkelige omk.'!C30</f>
        <v>6218182.8004407994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8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2" t="s">
        <v>106</v>
      </c>
      <c r="C22" s="9">
        <f>'Fane 10.2. Engangstillæg'!C23</f>
        <v>0</v>
      </c>
      <c r="D22" s="8" t="s">
        <v>3</v>
      </c>
      <c r="E22" s="1"/>
    </row>
    <row r="23" spans="1:5" ht="15" customHeight="1" x14ac:dyDescent="0.25">
      <c r="A23" s="1"/>
      <c r="B23" s="42" t="s">
        <v>107</v>
      </c>
      <c r="C23" s="9">
        <f>'Fane 10.2. Engangstillæg'!E23</f>
        <v>0</v>
      </c>
      <c r="D23" s="8" t="s">
        <v>3</v>
      </c>
      <c r="E23" s="1"/>
    </row>
    <row r="24" spans="1:5" ht="15" customHeight="1" x14ac:dyDescent="0.25">
      <c r="A24" s="1"/>
      <c r="B24" s="48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2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103178616.54410017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196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0" t="s">
        <v>155</v>
      </c>
      <c r="C8" s="7">
        <f>'Fane 2.2. Økonomisk ramme 2022'!C16</f>
        <v>96960433.743659362</v>
      </c>
      <c r="D8" s="8" t="s">
        <v>3</v>
      </c>
      <c r="E8" s="1"/>
    </row>
    <row r="9" spans="1:5" ht="15" customHeight="1" x14ac:dyDescent="0.25">
      <c r="A9" s="1"/>
      <c r="B9" s="40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0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1182917.2916726442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drift'!G48</f>
        <v>-557998.80530105031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anlæg'!G47</f>
        <v>-1934003.9856423349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95651348.244388625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omk.'!C17*(1+'Fane 14. Nøgletal'!C13)^2+'Fane 6. Ikke-påvirkelige omk.'!C23+'Fane 6. Ikke-påvirkelige omk.'!C31</f>
        <v>6268348.6734061763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8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2" t="s">
        <v>106</v>
      </c>
      <c r="C21" s="9">
        <f>'Fane 10.2. Engangstillæg'!C31</f>
        <v>0</v>
      </c>
      <c r="D21" s="8" t="s">
        <v>3</v>
      </c>
      <c r="E21" s="1"/>
    </row>
    <row r="22" spans="1:5" ht="15" customHeight="1" x14ac:dyDescent="0.25">
      <c r="A22" s="1"/>
      <c r="B22" s="42" t="s">
        <v>107</v>
      </c>
      <c r="C22" s="9">
        <f>'Fane 10.2. Engangstillæg'!E31</f>
        <v>0</v>
      </c>
      <c r="D22" s="8" t="s">
        <v>3</v>
      </c>
      <c r="E22" s="1"/>
    </row>
    <row r="23" spans="1:5" ht="15" customHeight="1" x14ac:dyDescent="0.2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2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101919696.91779479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197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0" t="s">
        <v>198</v>
      </c>
      <c r="C8" s="7">
        <f>'Fane 2.3. Økonomisk ramme 2023'!C15</f>
        <v>95651348.244388625</v>
      </c>
      <c r="D8" s="8" t="s">
        <v>3</v>
      </c>
      <c r="E8" s="1"/>
    </row>
    <row r="9" spans="1:5" ht="15" customHeight="1" x14ac:dyDescent="0.25">
      <c r="A9" s="1"/>
      <c r="B9" s="40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0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1166946.4485815412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drift'!G55</f>
        <v>-553510.26291120867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anlæg'!G54</f>
        <v>-1903764.8663248245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94361019.563734129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omk.'!C17*(1+'Fane 14. Nøgletal'!C13)^3+'Fane 6. Ikke-påvirkelige omk.'!C24+'Fane 6. Ikke-påvirkelige omk.'!C32</f>
        <v>6319126.5700217327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8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2" t="s">
        <v>106</v>
      </c>
      <c r="C21" s="9">
        <f>'Fane 10.2. Engangstillæg'!C39</f>
        <v>0</v>
      </c>
      <c r="D21" s="8" t="s">
        <v>3</v>
      </c>
      <c r="E21" s="1"/>
    </row>
    <row r="22" spans="1:5" ht="15" customHeight="1" x14ac:dyDescent="0.25">
      <c r="A22" s="1"/>
      <c r="B22" s="42" t="s">
        <v>107</v>
      </c>
      <c r="C22" s="9">
        <f>'Fane 10.2. Engangstillæg'!E39</f>
        <v>0</v>
      </c>
      <c r="D22" s="8" t="s">
        <v>3</v>
      </c>
      <c r="E22" s="1"/>
    </row>
    <row r="23" spans="1:5" ht="15" customHeight="1" x14ac:dyDescent="0.2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100680146.13375586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93" t="s">
        <v>25</v>
      </c>
      <c r="C9" s="94"/>
      <c r="D9" s="95"/>
      <c r="E9" s="7">
        <v>92369302.428589657</v>
      </c>
      <c r="F9" s="8" t="s">
        <v>3</v>
      </c>
      <c r="G9" s="1"/>
    </row>
    <row r="10" spans="1:7" x14ac:dyDescent="0.25">
      <c r="A10" s="1"/>
      <c r="B10" s="89" t="s">
        <v>233</v>
      </c>
      <c r="C10" s="90"/>
      <c r="D10" s="91"/>
      <c r="E10" s="7">
        <v>280005.52376993553</v>
      </c>
      <c r="F10" s="8" t="s">
        <v>3</v>
      </c>
      <c r="G10" s="1"/>
    </row>
    <row r="11" spans="1:7" x14ac:dyDescent="0.25">
      <c r="A11" s="1"/>
      <c r="B11" s="89" t="s">
        <v>234</v>
      </c>
      <c r="C11" s="90"/>
      <c r="D11" s="91"/>
      <c r="E11" s="7">
        <v>1625562.6625345596</v>
      </c>
      <c r="F11" s="8" t="s">
        <v>3</v>
      </c>
      <c r="G11" s="1"/>
    </row>
    <row r="12" spans="1:7" x14ac:dyDescent="0.25">
      <c r="A12" s="1"/>
      <c r="B12" s="80" t="s">
        <v>46</v>
      </c>
      <c r="C12" s="81"/>
      <c r="D12" s="82"/>
      <c r="E12" s="7">
        <v>765324.61830000009</v>
      </c>
      <c r="F12" s="8" t="s">
        <v>3</v>
      </c>
      <c r="G12" s="1"/>
    </row>
    <row r="13" spans="1:7" x14ac:dyDescent="0.25">
      <c r="A13" s="1"/>
      <c r="B13" s="80" t="s">
        <v>47</v>
      </c>
      <c r="C13" s="81"/>
      <c r="D13" s="82"/>
      <c r="E13" s="9">
        <v>3132732.0611399999</v>
      </c>
      <c r="F13" s="8" t="s">
        <v>3</v>
      </c>
      <c r="G13" s="1"/>
    </row>
    <row r="14" spans="1:7" x14ac:dyDescent="0.25">
      <c r="A14" s="1"/>
      <c r="B14" s="80" t="s">
        <v>32</v>
      </c>
      <c r="C14" s="81"/>
      <c r="D14" s="82"/>
      <c r="E14" s="9">
        <v>0</v>
      </c>
      <c r="F14" s="8" t="s">
        <v>3</v>
      </c>
      <c r="G14" s="1"/>
    </row>
    <row r="15" spans="1:7" x14ac:dyDescent="0.25">
      <c r="A15" s="1"/>
      <c r="B15" s="80" t="s">
        <v>31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0" t="s">
        <v>193</v>
      </c>
      <c r="C16" s="81"/>
      <c r="D16" s="82"/>
      <c r="E16" s="9">
        <v>0</v>
      </c>
      <c r="F16" s="8" t="s">
        <v>3</v>
      </c>
      <c r="G16" s="1"/>
    </row>
    <row r="17" spans="1:7" x14ac:dyDescent="0.25">
      <c r="A17" s="1"/>
      <c r="B17" s="80" t="s">
        <v>194</v>
      </c>
      <c r="C17" s="81"/>
      <c r="D17" s="82"/>
      <c r="E17" s="9">
        <v>0</v>
      </c>
      <c r="F17" s="8" t="s">
        <v>3</v>
      </c>
      <c r="G17" s="1"/>
    </row>
    <row r="18" spans="1:7" x14ac:dyDescent="0.25">
      <c r="A18" s="1"/>
      <c r="B18" s="80" t="s">
        <v>20</v>
      </c>
      <c r="C18" s="81"/>
      <c r="D18" s="82"/>
      <c r="E18" s="9">
        <f>(E9-SUM(E10:E11))*'Fane 14. Nøgletal'!C10+SUM(E10:E11)*'Fane 14. Nøgletal'!C11+SUM(E12:E17)*'Fane 14. Nøgletal'!C12</f>
        <v>1692111.1681735045</v>
      </c>
      <c r="F18" s="8" t="s">
        <v>3</v>
      </c>
      <c r="G18" s="1"/>
    </row>
    <row r="19" spans="1:7" x14ac:dyDescent="0.25">
      <c r="A19" s="1"/>
      <c r="B19" s="80" t="s">
        <v>10</v>
      </c>
      <c r="C19" s="81"/>
      <c r="D19" s="82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80" t="s">
        <v>29</v>
      </c>
      <c r="C20" s="81"/>
      <c r="D20" s="82"/>
      <c r="E20" s="9">
        <f>-'Fane 4.1. Gen. krav - drift'!G28</f>
        <v>-556683.31751848338</v>
      </c>
      <c r="F20" s="8" t="s">
        <v>3</v>
      </c>
      <c r="G20" s="1"/>
    </row>
    <row r="21" spans="1:7" x14ac:dyDescent="0.25">
      <c r="A21" s="1"/>
      <c r="B21" s="80" t="s">
        <v>30</v>
      </c>
      <c r="C21" s="81"/>
      <c r="D21" s="82"/>
      <c r="E21" s="9">
        <f>-'Fane 4.2. Gen. krav - anlæg'!G27</f>
        <v>-1261947.4910003499</v>
      </c>
      <c r="F21" s="8" t="s">
        <v>3</v>
      </c>
      <c r="G21" s="1"/>
    </row>
    <row r="22" spans="1:7" x14ac:dyDescent="0.25">
      <c r="A22" s="1"/>
      <c r="B22" s="83" t="s">
        <v>22</v>
      </c>
      <c r="C22" s="84"/>
      <c r="D22" s="85"/>
      <c r="E22" s="10">
        <f>SUM(E9,E12:E21)</f>
        <v>96140839.467684329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77" t="s">
        <v>13</v>
      </c>
      <c r="C24" s="78"/>
      <c r="D24" s="79"/>
      <c r="E24" s="10">
        <v>6332746.4362089895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86" t="s">
        <v>111</v>
      </c>
      <c r="C26" s="87"/>
      <c r="D26" s="88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9" t="s">
        <v>106</v>
      </c>
      <c r="C28" s="90"/>
      <c r="D28" s="91"/>
      <c r="E28" s="34">
        <v>0</v>
      </c>
      <c r="F28" s="8" t="s">
        <v>3</v>
      </c>
      <c r="G28" s="1"/>
    </row>
    <row r="29" spans="1:7" ht="15.75" customHeight="1" x14ac:dyDescent="0.25">
      <c r="A29" s="1"/>
      <c r="B29" s="89" t="s">
        <v>107</v>
      </c>
      <c r="C29" s="90"/>
      <c r="D29" s="91"/>
      <c r="E29" s="34">
        <v>0</v>
      </c>
      <c r="F29" s="8" t="s">
        <v>3</v>
      </c>
      <c r="G29" s="1"/>
    </row>
    <row r="30" spans="1:7" x14ac:dyDescent="0.25">
      <c r="A30" s="1"/>
      <c r="B30" s="48" t="s">
        <v>112</v>
      </c>
      <c r="C30" s="46"/>
      <c r="D30" s="47"/>
      <c r="E30" s="10">
        <v>0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77" t="s">
        <v>267</v>
      </c>
      <c r="C32" s="78"/>
      <c r="D32" s="79"/>
      <c r="E32" s="10">
        <v>0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77" t="s">
        <v>269</v>
      </c>
      <c r="C34" s="78"/>
      <c r="D34" s="79"/>
      <c r="E34" s="10">
        <v>60314.333755521569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102533900.23764884</v>
      </c>
      <c r="F35" s="13" t="s">
        <v>3</v>
      </c>
      <c r="G35" s="1"/>
    </row>
    <row r="36" spans="1:7" ht="26.85" customHeight="1" x14ac:dyDescent="0.25">
      <c r="A36" s="1"/>
      <c r="B36" s="74" t="s">
        <v>202</v>
      </c>
      <c r="C36" s="75"/>
      <c r="D36" s="75"/>
      <c r="E36" s="75"/>
      <c r="F36" s="7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:F4"/>
    <mergeCell ref="B9:D9"/>
    <mergeCell ref="B12:D12"/>
    <mergeCell ref="B13:D13"/>
    <mergeCell ref="B14:D14"/>
    <mergeCell ref="B10:D10"/>
    <mergeCell ref="B11:D11"/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2" t="s">
        <v>167</v>
      </c>
      <c r="C1" s="92"/>
      <c r="D1" s="92"/>
      <c r="E1" s="92"/>
      <c r="F1" s="92"/>
      <c r="G1" s="92"/>
      <c r="H1" s="92"/>
      <c r="I1" s="1"/>
    </row>
    <row r="2" spans="1:9" ht="15" customHeight="1" x14ac:dyDescent="0.25">
      <c r="A2" s="1"/>
      <c r="B2" s="92"/>
      <c r="C2" s="92"/>
      <c r="D2" s="92"/>
      <c r="E2" s="92"/>
      <c r="F2" s="92"/>
      <c r="G2" s="92"/>
      <c r="H2" s="92"/>
      <c r="I2" s="1"/>
    </row>
    <row r="3" spans="1:9" ht="1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x14ac:dyDescent="0.25">
      <c r="A4" s="1"/>
      <c r="B4" s="102" t="s">
        <v>66</v>
      </c>
      <c r="C4" s="103"/>
      <c r="D4" s="103"/>
      <c r="E4" s="103"/>
      <c r="F4" s="103"/>
      <c r="G4" s="103"/>
      <c r="H4" s="104"/>
      <c r="I4" s="1"/>
    </row>
    <row r="5" spans="1:9" x14ac:dyDescent="0.25">
      <c r="A5" s="1"/>
      <c r="B5" s="99" t="s">
        <v>55</v>
      </c>
      <c r="C5" s="100"/>
      <c r="D5" s="100"/>
      <c r="E5" s="100"/>
      <c r="F5" s="101"/>
      <c r="G5" s="24">
        <v>26882057.813250385</v>
      </c>
      <c r="H5" s="14" t="s">
        <v>3</v>
      </c>
      <c r="I5" s="1"/>
    </row>
    <row r="6" spans="1:9" x14ac:dyDescent="0.25">
      <c r="A6" s="1"/>
      <c r="B6" s="74" t="s">
        <v>183</v>
      </c>
      <c r="C6" s="75"/>
      <c r="D6" s="75"/>
      <c r="E6" s="75"/>
      <c r="F6" s="76"/>
      <c r="G6" s="24">
        <v>0</v>
      </c>
      <c r="H6" s="14" t="s">
        <v>3</v>
      </c>
      <c r="I6" s="1"/>
    </row>
    <row r="7" spans="1:9" x14ac:dyDescent="0.25">
      <c r="A7" s="1"/>
      <c r="B7" s="99" t="s">
        <v>56</v>
      </c>
      <c r="C7" s="100"/>
      <c r="D7" s="100"/>
      <c r="E7" s="100"/>
      <c r="F7" s="101"/>
      <c r="G7" s="24">
        <f>SUM(G5:G6)*'Fane 14. Nøgletal'!C27</f>
        <v>537641.15626500768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26805443.948482621</v>
      </c>
      <c r="H11" s="14" t="s">
        <v>3</v>
      </c>
      <c r="I11" s="1"/>
    </row>
    <row r="12" spans="1:9" x14ac:dyDescent="0.25">
      <c r="A12" s="1"/>
      <c r="B12" s="99" t="s">
        <v>185</v>
      </c>
      <c r="C12" s="100"/>
      <c r="D12" s="100"/>
      <c r="E12" s="100"/>
      <c r="F12" s="101"/>
      <c r="G12" s="24">
        <v>116821.03132700028</v>
      </c>
      <c r="H12" s="14" t="s">
        <v>3</v>
      </c>
      <c r="I12" s="1"/>
    </row>
    <row r="13" spans="1:9" x14ac:dyDescent="0.25">
      <c r="A13" s="1"/>
      <c r="B13" s="74" t="s">
        <v>182</v>
      </c>
      <c r="C13" s="75"/>
      <c r="D13" s="75"/>
      <c r="E13" s="75"/>
      <c r="F13" s="76"/>
      <c r="G13" s="24">
        <v>0</v>
      </c>
      <c r="H13" s="14" t="s">
        <v>3</v>
      </c>
      <c r="I13" s="1"/>
    </row>
    <row r="14" spans="1:9" x14ac:dyDescent="0.25">
      <c r="A14" s="1"/>
      <c r="B14" s="96" t="s">
        <v>58</v>
      </c>
      <c r="C14" s="97"/>
      <c r="D14" s="97"/>
      <c r="E14" s="97"/>
      <c r="F14" s="98"/>
      <c r="G14" s="24">
        <v>0</v>
      </c>
      <c r="H14" s="14" t="s">
        <v>3</v>
      </c>
      <c r="I14" s="1"/>
    </row>
    <row r="15" spans="1:9" x14ac:dyDescent="0.2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538445.29959619243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02" t="s">
        <v>68</v>
      </c>
      <c r="C18" s="103"/>
      <c r="D18" s="103"/>
      <c r="E18" s="103"/>
      <c r="F18" s="103"/>
      <c r="G18" s="103"/>
      <c r="H18" s="104"/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26845536.524617165</v>
      </c>
      <c r="H19" s="14" t="s">
        <v>3</v>
      </c>
      <c r="I19" s="1"/>
    </row>
    <row r="20" spans="1:9" x14ac:dyDescent="0.25">
      <c r="A20" s="1"/>
      <c r="B20" s="96" t="s">
        <v>61</v>
      </c>
      <c r="C20" s="97"/>
      <c r="D20" s="97"/>
      <c r="E20" s="97"/>
      <c r="F20" s="98"/>
      <c r="G20" s="24">
        <v>285719.92221421993</v>
      </c>
      <c r="H20" s="14" t="s">
        <v>3</v>
      </c>
      <c r="I20" s="1"/>
    </row>
    <row r="21" spans="1:9" x14ac:dyDescent="0.2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542625.12893662776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2" t="s">
        <v>69</v>
      </c>
      <c r="C24" s="103"/>
      <c r="D24" s="103"/>
      <c r="E24" s="103"/>
      <c r="F24" s="103"/>
      <c r="G24" s="103"/>
      <c r="H24" s="104"/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27053764.362643659</v>
      </c>
      <c r="H25" s="14" t="s">
        <v>3</v>
      </c>
      <c r="I25" s="1"/>
    </row>
    <row r="26" spans="1:9" x14ac:dyDescent="0.25">
      <c r="A26" s="1"/>
      <c r="B26" s="105" t="s">
        <v>180</v>
      </c>
      <c r="C26" s="106"/>
      <c r="D26" s="106"/>
      <c r="E26" s="106"/>
      <c r="F26" s="107"/>
      <c r="G26" s="24">
        <f>G20*(1-'Fane 14. Nøgletal'!C27)*(1+'Fane 14. Nøgletal'!C11)</f>
        <v>284737.6171216474</v>
      </c>
      <c r="H26" s="14" t="s">
        <v>3</v>
      </c>
      <c r="I26" s="1"/>
    </row>
    <row r="27" spans="1:9" x14ac:dyDescent="0.25">
      <c r="A27" s="1"/>
      <c r="B27" s="96" t="s">
        <v>64</v>
      </c>
      <c r="C27" s="97"/>
      <c r="D27" s="97"/>
      <c r="E27" s="97"/>
      <c r="F27" s="98"/>
      <c r="G27" s="24">
        <v>780401.51328051009</v>
      </c>
      <c r="H27" s="14" t="s">
        <v>3</v>
      </c>
      <c r="I27" s="1"/>
    </row>
    <row r="28" spans="1:9" x14ac:dyDescent="0.2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556683.31751848338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2" t="s">
        <v>72</v>
      </c>
      <c r="C31" s="103"/>
      <c r="D31" s="103"/>
      <c r="E31" s="103"/>
      <c r="F31" s="103"/>
      <c r="G31" s="103"/>
      <c r="H31" s="104"/>
      <c r="I31" s="1"/>
    </row>
    <row r="32" spans="1:9" x14ac:dyDescent="0.2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27756353.623121552</v>
      </c>
      <c r="H32" s="14" t="s">
        <v>3</v>
      </c>
      <c r="I32" s="1"/>
    </row>
    <row r="33" spans="1:9" x14ac:dyDescent="0.25">
      <c r="A33" s="1"/>
      <c r="B33" s="105" t="s">
        <v>180</v>
      </c>
      <c r="C33" s="97"/>
      <c r="D33" s="97"/>
      <c r="E33" s="97"/>
      <c r="F33" s="98"/>
      <c r="G33" s="24">
        <f>G26*(1-'Fane 14. Nøgletal'!C27)*(1+'Fane 14. Nøgletal'!C11)</f>
        <v>283758.68919398315</v>
      </c>
      <c r="H33" s="14" t="s">
        <v>3</v>
      </c>
      <c r="I33" s="1"/>
    </row>
    <row r="34" spans="1:9" x14ac:dyDescent="0.25">
      <c r="A34" s="1"/>
      <c r="B34" s="105" t="s">
        <v>181</v>
      </c>
      <c r="C34" s="97"/>
      <c r="D34" s="97"/>
      <c r="E34" s="97"/>
      <c r="F34" s="98"/>
      <c r="G34" s="24">
        <f>G27*(1-'Fane 14. Nøgletal'!C27)*(1+'Fane 14. Nøgletal'!C12)</f>
        <v>779859.9146302935</v>
      </c>
      <c r="H34" s="14" t="s">
        <v>3</v>
      </c>
      <c r="I34" s="1"/>
    </row>
    <row r="35" spans="1:9" x14ac:dyDescent="0.2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597915.43298675993</v>
      </c>
      <c r="H35" s="14" t="s">
        <v>3</v>
      </c>
      <c r="I35" s="1"/>
    </row>
    <row r="36" spans="1:9" x14ac:dyDescent="0.2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567085.38112216617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2" t="s">
        <v>99</v>
      </c>
      <c r="C39" s="103"/>
      <c r="D39" s="103"/>
      <c r="E39" s="103"/>
      <c r="F39" s="103"/>
      <c r="G39" s="103"/>
      <c r="H39" s="104"/>
      <c r="I39" s="1"/>
    </row>
    <row r="40" spans="1:9" x14ac:dyDescent="0.2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28126187.315820977</v>
      </c>
      <c r="H40" s="14" t="s">
        <v>3</v>
      </c>
      <c r="I40" s="1"/>
    </row>
    <row r="41" spans="1:9" x14ac:dyDescent="0.2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562523.74631641957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02" t="s">
        <v>100</v>
      </c>
      <c r="C45" s="103"/>
      <c r="D45" s="103"/>
      <c r="E45" s="103"/>
      <c r="F45" s="103"/>
      <c r="G45" s="103"/>
      <c r="H45" s="104"/>
      <c r="I45" s="1"/>
    </row>
    <row r="46" spans="1:9" x14ac:dyDescent="0.2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27899940.265052516</v>
      </c>
      <c r="H46" s="14" t="s">
        <v>3</v>
      </c>
      <c r="I46" s="1"/>
    </row>
    <row r="47" spans="1:9" x14ac:dyDescent="0.2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557998.80530105031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102" t="s">
        <v>240</v>
      </c>
      <c r="C52" s="103"/>
      <c r="D52" s="103"/>
      <c r="E52" s="103"/>
      <c r="F52" s="103"/>
      <c r="G52" s="103"/>
      <c r="H52" s="104"/>
      <c r="I52" s="1"/>
    </row>
    <row r="53" spans="1:9" x14ac:dyDescent="0.2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27675513.145560432</v>
      </c>
      <c r="H53" s="14" t="s">
        <v>3</v>
      </c>
      <c r="I53" s="1"/>
    </row>
    <row r="54" spans="1:9" x14ac:dyDescent="0.2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553510.26291120867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  <mergeCell ref="B1:H3"/>
    <mergeCell ref="B4:H4"/>
    <mergeCell ref="B5:F5"/>
    <mergeCell ref="B7:F7"/>
    <mergeCell ref="B11:F11"/>
    <mergeCell ref="B10:H10"/>
    <mergeCell ref="B6:F6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1.28515625" style="2" customWidth="1"/>
    <col min="7" max="7" width="11.710937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102" t="s">
        <v>70</v>
      </c>
      <c r="C5" s="103"/>
      <c r="D5" s="103"/>
      <c r="E5" s="103"/>
      <c r="F5" s="103"/>
      <c r="G5" s="103"/>
      <c r="H5" s="104"/>
      <c r="I5" s="1"/>
    </row>
    <row r="6" spans="1:9" x14ac:dyDescent="0.25">
      <c r="A6" s="1"/>
      <c r="B6" s="99" t="s">
        <v>77</v>
      </c>
      <c r="C6" s="100"/>
      <c r="D6" s="100"/>
      <c r="E6" s="100"/>
      <c r="F6" s="101"/>
      <c r="G6" s="24">
        <v>65110348.012595333</v>
      </c>
      <c r="H6" s="14" t="s">
        <v>3</v>
      </c>
      <c r="I6" s="1"/>
    </row>
    <row r="7" spans="1:9" x14ac:dyDescent="0.25">
      <c r="A7" s="1"/>
      <c r="B7" s="99" t="s">
        <v>71</v>
      </c>
      <c r="C7" s="100"/>
      <c r="D7" s="100"/>
      <c r="E7" s="100"/>
      <c r="F7" s="101"/>
      <c r="G7" s="24">
        <f>G6*'Fane 14. Nøgletal'!C18</f>
        <v>592504.16691461753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78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65646906.112980127</v>
      </c>
      <c r="H11" s="14" t="s">
        <v>3</v>
      </c>
      <c r="I11" s="1"/>
    </row>
    <row r="12" spans="1:9" x14ac:dyDescent="0.25">
      <c r="A12" s="1"/>
      <c r="B12" s="99" t="s">
        <v>186</v>
      </c>
      <c r="C12" s="100"/>
      <c r="D12" s="100"/>
      <c r="E12" s="100"/>
      <c r="F12" s="101"/>
      <c r="G12" s="24">
        <v>-221815.57321785053</v>
      </c>
      <c r="H12" s="14" t="s">
        <v>3</v>
      </c>
      <c r="I12" s="1"/>
    </row>
    <row r="13" spans="1:9" x14ac:dyDescent="0.25">
      <c r="A13" s="1"/>
      <c r="B13" s="96" t="s">
        <v>80</v>
      </c>
      <c r="C13" s="97"/>
      <c r="D13" s="97"/>
      <c r="E13" s="97"/>
      <c r="F13" s="98"/>
      <c r="G13" s="24">
        <v>0</v>
      </c>
      <c r="H13" s="14" t="s">
        <v>3</v>
      </c>
      <c r="I13" s="1"/>
    </row>
    <row r="14" spans="1:9" x14ac:dyDescent="0.2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1158024.1025537923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02" t="s">
        <v>82</v>
      </c>
      <c r="C17" s="103"/>
      <c r="D17" s="103"/>
      <c r="E17" s="103"/>
      <c r="F17" s="103"/>
      <c r="G17" s="103"/>
      <c r="H17" s="104"/>
      <c r="I17" s="1"/>
    </row>
    <row r="18" spans="1:9" x14ac:dyDescent="0.2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65391740.099859633</v>
      </c>
      <c r="H18" s="14" t="s">
        <v>3</v>
      </c>
      <c r="I18" s="1"/>
    </row>
    <row r="19" spans="1:9" x14ac:dyDescent="0.25">
      <c r="A19" s="1"/>
      <c r="B19" s="96" t="s">
        <v>84</v>
      </c>
      <c r="C19" s="97"/>
      <c r="D19" s="97"/>
      <c r="E19" s="97"/>
      <c r="F19" s="98"/>
      <c r="G19" s="24">
        <v>1639829.1763689697</v>
      </c>
      <c r="H19" s="14" t="s">
        <v>3</v>
      </c>
      <c r="I19" s="1"/>
    </row>
    <row r="20" spans="1:9" x14ac:dyDescent="0.2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1171700.3136019257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2" t="s">
        <v>86</v>
      </c>
      <c r="C23" s="103"/>
      <c r="D23" s="103"/>
      <c r="E23" s="103"/>
      <c r="F23" s="103"/>
      <c r="G23" s="103"/>
      <c r="H23" s="104"/>
      <c r="I23" s="1"/>
    </row>
    <row r="24" spans="1:9" x14ac:dyDescent="0.2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67011441.331875123</v>
      </c>
      <c r="H24" s="14" t="s">
        <v>3</v>
      </c>
      <c r="I24" s="1"/>
    </row>
    <row r="25" spans="1:9" x14ac:dyDescent="0.25">
      <c r="A25" s="1"/>
      <c r="B25" s="105" t="s">
        <v>177</v>
      </c>
      <c r="C25" s="97"/>
      <c r="D25" s="97"/>
      <c r="E25" s="97"/>
      <c r="F25" s="98"/>
      <c r="G25" s="24">
        <f>G19*(1-'Fane 14. Nøgletal'!C20)*(1+'Fane 14. Nøgletal'!C11)</f>
        <v>1653034.6715313934</v>
      </c>
      <c r="H25" s="14" t="s">
        <v>3</v>
      </c>
      <c r="I25" s="1"/>
    </row>
    <row r="26" spans="1:9" x14ac:dyDescent="0.25">
      <c r="A26" s="1"/>
      <c r="B26" s="96" t="s">
        <v>88</v>
      </c>
      <c r="C26" s="97"/>
      <c r="D26" s="97"/>
      <c r="E26" s="97"/>
      <c r="F26" s="98"/>
      <c r="G26" s="24">
        <v>3194446.882744458</v>
      </c>
      <c r="H26" s="14" t="s">
        <v>3</v>
      </c>
      <c r="I26" s="1"/>
    </row>
    <row r="27" spans="1:9" x14ac:dyDescent="0.2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1261947.4910003499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02" t="s">
        <v>90</v>
      </c>
      <c r="C30" s="103"/>
      <c r="D30" s="103"/>
      <c r="E30" s="103"/>
      <c r="F30" s="103"/>
      <c r="G30" s="103"/>
      <c r="H30" s="104"/>
      <c r="I30" s="1"/>
    </row>
    <row r="31" spans="1:9" x14ac:dyDescent="0.2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70156304.688421443</v>
      </c>
      <c r="H31" s="14" t="s">
        <v>3</v>
      </c>
      <c r="I31" s="1"/>
    </row>
    <row r="32" spans="1:9" x14ac:dyDescent="0.25">
      <c r="A32" s="1"/>
      <c r="B32" s="105" t="s">
        <v>178</v>
      </c>
      <c r="C32" s="97"/>
      <c r="D32" s="97"/>
      <c r="E32" s="97"/>
      <c r="F32" s="98"/>
      <c r="G32" s="24">
        <f>G25*(1-'Fane 14. Nøgletal'!C20)*(1+'Fane 14. Nøgletal'!C11)</f>
        <v>1666346.5101501953</v>
      </c>
      <c r="H32" s="14" t="s">
        <v>3</v>
      </c>
      <c r="I32" s="1"/>
    </row>
    <row r="33" spans="1:9" x14ac:dyDescent="0.25">
      <c r="A33" s="1"/>
      <c r="B33" s="105" t="s">
        <v>179</v>
      </c>
      <c r="C33" s="97"/>
      <c r="D33" s="97"/>
      <c r="E33" s="97"/>
      <c r="F33" s="98"/>
      <c r="G33" s="24">
        <f>G26*(1-'Fane 14. Nøgletal'!C21)*(1+'Fane 14. Nøgletal'!C12)</f>
        <v>3164867.9657226233</v>
      </c>
      <c r="H33" s="14" t="s">
        <v>3</v>
      </c>
      <c r="I33" s="1"/>
    </row>
    <row r="34" spans="1:9" x14ac:dyDescent="0.2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1735423.85624328</v>
      </c>
      <c r="H34" s="14" t="s">
        <v>3</v>
      </c>
      <c r="I34" s="1"/>
    </row>
    <row r="35" spans="1:9" x14ac:dyDescent="0.2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1308357.7176736302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02" t="s">
        <v>101</v>
      </c>
      <c r="C38" s="103"/>
      <c r="D38" s="103"/>
      <c r="E38" s="103"/>
      <c r="F38" s="103"/>
      <c r="G38" s="103"/>
      <c r="H38" s="104"/>
      <c r="I38" s="1"/>
    </row>
    <row r="39" spans="1:9" x14ac:dyDescent="0.2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71444487.951080382</v>
      </c>
      <c r="H39" s="14" t="s">
        <v>3</v>
      </c>
      <c r="I39" s="1"/>
    </row>
    <row r="40" spans="1:9" x14ac:dyDescent="0.2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1964723.4186547105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2" t="s">
        <v>102</v>
      </c>
      <c r="C44" s="103"/>
      <c r="D44" s="103"/>
      <c r="E44" s="103"/>
      <c r="F44" s="103"/>
      <c r="G44" s="103"/>
      <c r="H44" s="104"/>
      <c r="I44" s="1"/>
    </row>
    <row r="45" spans="1:9" x14ac:dyDescent="0.2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70327417.65972127</v>
      </c>
      <c r="H45" s="14" t="s">
        <v>3</v>
      </c>
      <c r="I45" s="1"/>
    </row>
    <row r="46" spans="1:9" x14ac:dyDescent="0.2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1934003.9856423349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2" t="s">
        <v>245</v>
      </c>
      <c r="C51" s="103"/>
      <c r="D51" s="103"/>
      <c r="E51" s="103"/>
      <c r="F51" s="103"/>
      <c r="G51" s="103"/>
      <c r="H51" s="104"/>
      <c r="I51" s="1"/>
    </row>
    <row r="52" spans="1:9" x14ac:dyDescent="0.2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69227813.320902705</v>
      </c>
      <c r="H52" s="14" t="s">
        <v>3</v>
      </c>
      <c r="I52" s="1"/>
    </row>
    <row r="53" spans="1:9" x14ac:dyDescent="0.2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1903764.8663248245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ht7J4TGKUuFZeG6lc8ikuk4bPGLRVRrg2Gd7See0r42khRfyJi6paEydhIFjxoTSQZP6VULgCmRI6aF/2Bh6AQ==" saltValue="bD56Hah7x2N4h4yXoMBx0w==" spinCount="100000" sheet="1" objects="1" scenarios="1"/>
  <mergeCells count="36"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  <mergeCell ref="B23:H23"/>
    <mergeCell ref="B17:H17"/>
    <mergeCell ref="B19:F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10</v>
      </c>
      <c r="C8" s="103"/>
      <c r="D8" s="103"/>
      <c r="E8" s="103"/>
      <c r="F8" s="103"/>
      <c r="G8" s="103"/>
      <c r="H8" s="104"/>
      <c r="I8" s="1"/>
    </row>
    <row r="9" spans="1:9" x14ac:dyDescent="0.25">
      <c r="A9" s="1"/>
      <c r="B9" s="99" t="s">
        <v>103</v>
      </c>
      <c r="C9" s="100"/>
      <c r="D9" s="100"/>
      <c r="E9" s="100"/>
      <c r="F9" s="101"/>
      <c r="G9" s="23">
        <v>8.4323654203782925E-4</v>
      </c>
      <c r="H9" s="14"/>
      <c r="I9" s="1"/>
    </row>
    <row r="10" spans="1:9" x14ac:dyDescent="0.25">
      <c r="A10" s="1"/>
      <c r="B10" s="99" t="s">
        <v>148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74" t="s">
        <v>152</v>
      </c>
      <c r="C12" s="75"/>
      <c r="D12" s="75"/>
      <c r="E12" s="75"/>
      <c r="F12" s="75"/>
      <c r="G12" s="75"/>
      <c r="H12" s="76"/>
      <c r="I12" s="1"/>
    </row>
    <row r="13" spans="1:9" ht="30.75" customHeight="1" x14ac:dyDescent="0.2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2020-09-09T09:23:35Z</dcterms:modified>
</cp:coreProperties>
</file>