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Denne_projektmappe" defaultThemeVersion="124226"/>
  <mc:AlternateContent xmlns:mc="http://schemas.openxmlformats.org/markup-compatibility/2006">
    <mc:Choice Requires="x15">
      <x15ac:absPath xmlns:x15ac="http://schemas.microsoft.com/office/spreadsheetml/2010/11/ac" url="E:\VAND\Sagsbehandling\Spildevand\Forsyning Helsingør Spildevand AS (S021)\ØR2025\"/>
    </mc:Choice>
  </mc:AlternateContent>
  <xr:revisionPtr revIDLastSave="0" documentId="13_ncr:1_{F6B96827-9860-44F2-9A4C-057D8DA79A49}"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ØR2024'!$B$8:$D$40</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19" i="37"/>
  <c r="C20" i="37" s="1"/>
  <c r="C10" i="2" l="1"/>
  <c r="C16" i="30" l="1"/>
  <c r="C17" i="30" s="1"/>
  <c r="C21" i="30" l="1"/>
  <c r="C22" i="30" s="1"/>
  <c r="C18" i="2"/>
  <c r="E19" i="37"/>
  <c r="E20"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<sst xmlns="http://schemas.openxmlformats.org/spreadsheetml/2006/main" count="555" uniqueCount="239">
  <si>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</si>
  <si>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</si>
  <si>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</si>
  <si>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</si>
  <si>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</si>
  <si>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</si>
  <si>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</si>
  <si>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</si>
  <si>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</si>
  <si>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</si>
  <si>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</si>
  <si>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</si>
  <si>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</si>
  <si>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</si>
  <si>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</si>
  <si>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</si>
  <si>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</si>
  <si>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</si>
  <si>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</si>
  <si>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</si>
  <si>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</si>
  <si>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</si>
  <si>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</si>
  <si>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</si>
  <si>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</si>
  <si>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</si>
  <si>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</si>
  <si>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</si>
  <si>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</si>
  <si>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</si>
  <si>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</si>
  <si>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</si>
  <si>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</si>
  <si>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</si>
  <si>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</si>
  <si>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</si>
  <si>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</si>
  <si>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</si>
  <si>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</si>
  <si>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</si>
  <si>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</si>
  <si>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</si>
  <si>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</si>
  <si>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</si>
  <si>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</si>
  <si>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</si>
  <si>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</si>
  <si>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</si>
  <si>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</si>
  <si>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</si>
  <si>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</si>
  <si>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</si>
  <si>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</si>
  <si>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</si>
  <si>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</si>
  <si>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</si>
  <si>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</si>
  <si>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</si>
  <si>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</si>
  <si>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</si>
  <si>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</si>
  <si>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</si>
  <si>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</si>
  <si>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</si>
  <si>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</si>
  <si>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</si>
  <si>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</si>
  <si>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</si>
  <si>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</si>
  <si>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</si>
  <si>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</si>
  <si>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</si>
  <si>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</si>
  <si>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</si>
  <si>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</si>
  <si>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</si>
  <si>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</si>
  <si>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</si>
  <si>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</si>
  <si>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</si>
  <si>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</si>
  <si>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</si>
  <si>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</si>
  <si>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</si>
  <si>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</si>
  <si>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</si>
  <si>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</si>
  <si>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</si>
  <si>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</si>
  <si>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</si>
  <si>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</si>
  <si>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</si>
  <si>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</si>
  <si>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</si>
  <si>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</si>
  <si>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</si>
  <si>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</si>
  <si>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</si>
  <si>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</si>
  <si>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</si>
  <si>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</si>
  <si>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</si>
  <si>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</si>
  <si>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</si>
  <si>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</si>
  <si>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</si>
  <si>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</si>
  <si>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</si>
  <si>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</si>
  <si>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</si>
  <si>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</si>
  <si>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</si>
  <si>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</si>
  <si>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</si>
  <si>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</si>
  <si>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</si>
  <si>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</si>
  <si>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</si>
  <si>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</si>
  <si>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</si>
  <si>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</si>
  <si>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</si>
  <si>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</si>
  <si>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</si>
  <si>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</si>
  <si>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</si>
  <si>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</si>
  <si>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</si>
  <si>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</si>
  <si>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</si>
  <si>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</si>
  <si>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</si>
  <si>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</si>
  <si>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</si>
  <si>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</si>
  <si>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</si>
  <si>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</si>
  <si>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</si>
  <si>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</si>
  <si>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</si>
  <si>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</si>
  <si>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</si>
  <si>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</si>
  <si>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</si>
  <si>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</si>
  <si>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</si>
  <si>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</si>
  <si>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</si>
  <si>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</si>
  <si>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</si>
  <si>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</si>
  <si>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</si>
  <si>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</si>
  <si>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</si>
  <si>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</si>
  <si>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</si>
  <si>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</si>
  <si>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</si>
  <si>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</si>
  <si>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</si>
  <si>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</si>
  <si>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</si>
  <si>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</si>
  <si>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</si>
  <si>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</si>
  <si>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</si>
  <si>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</si>
  <si>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</si>
  <si>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</si>
  <si>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</si>
  <si>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</si>
  <si>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</si>
  <si>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</si>
  <si>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</si>
  <si>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</si>
  <si>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</si>
  <si>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</si>
  <si>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</si>
  <si>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</si>
  <si>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</si>
  <si>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</si>
  <si>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</si>
  <si>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</si>
  <si>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</si>
  <si>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</si>
  <si>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</si>
  <si>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</si>
  <si>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</si>
  <si>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</si>
  <si>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</si>
  <si>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</si>
  <si>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</si>
  <si>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</si>
  <si>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</si>
  <si>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</si>
  <si>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</si>
  <si>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</si>
  <si>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</si>
  <si>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</si>
  <si>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</si>
  <si>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</si>
  <si>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</si>
  <si>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</si>
  <si>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</si>
  <si>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</si>
  <si>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</si>
  <si>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</si>
  <si>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</si>
  <si>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</si>
  <si>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</si>
  <si>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</si>
  <si>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</si>
  <si>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</si>
  <si>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Justering af den økonomiske ramme</t>
  </si>
  <si>
    <t>Justering af den økonomiske ramme for stigende el-omkostninger</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</si>
  <si>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</si>
  <si>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</si>
  <si>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</si>
  <si>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</si>
  <si>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</si>
  <si>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</si>
  <si>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</si>
  <si>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</si>
  <si>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</si>
  <si>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</si>
  <si>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</si>
  <si>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</si>
  <si>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</si>
  <si>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Spildevandsafgift</t>
  </si>
  <si>
    <t>Afgift til Forsyningssekretariatet</t>
  </si>
  <si>
    <t>Ejendomsskatter</t>
  </si>
  <si>
    <t>Gebyr til Miljøstyrelsen</t>
  </si>
  <si>
    <t>Øvrige afgifter</t>
  </si>
  <si>
    <t>Til statusmeddelelse for 2025</t>
  </si>
  <si>
    <t>PFAS slam</t>
  </si>
  <si>
    <t>Gæsteprincip</t>
  </si>
  <si>
    <t>Mindre udvidelser</t>
  </si>
  <si>
    <t>Udvidelse Julianelund</t>
  </si>
  <si>
    <t>Periodedvise driftsomkostninger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</si>
</sst>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1" fontId="8" fillId="8" borderId="1" xfId="1" applyNumberFormat="1" applyFont="1" applyFill="1" applyBorder="1" applyProtection="1"/>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9"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95" t="s">
        <v>4</v>
      </c>
      <c r="D6" s="95"/>
      <c r="E6" s="95"/>
      <c r="F6" s="95"/>
      <c r="G6" s="3"/>
    </row>
    <row r="7" spans="1:7" ht="15" customHeight="1" x14ac:dyDescent="0.25">
      <c r="A7" s="1"/>
      <c r="B7" s="3"/>
      <c r="C7" s="95"/>
      <c r="D7" s="95"/>
      <c r="E7" s="95"/>
      <c r="F7" s="95"/>
      <c r="G7" s="3"/>
    </row>
    <row r="8" spans="1:7" ht="15.75" x14ac:dyDescent="0.25">
      <c r="A8" s="1"/>
      <c r="B8" s="4"/>
      <c r="C8" s="100" t="s">
        <v>233</v>
      </c>
      <c r="D8" s="100"/>
      <c r="E8" s="100"/>
      <c r="F8" s="100"/>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99" t="s">
        <v>5</v>
      </c>
      <c r="D11" s="99"/>
      <c r="E11" s="99"/>
      <c r="F11" s="99"/>
      <c r="G11" s="5"/>
    </row>
    <row r="12" spans="1:7" x14ac:dyDescent="0.25">
      <c r="A12" s="1"/>
      <c r="B12" s="1"/>
      <c r="C12" s="1"/>
      <c r="D12" s="1"/>
      <c r="E12" s="1"/>
      <c r="F12" s="1"/>
      <c r="G12" s="5"/>
    </row>
    <row r="13" spans="1:7" x14ac:dyDescent="0.25">
      <c r="A13" s="1"/>
      <c r="B13" s="6" t="s">
        <v>6</v>
      </c>
      <c r="C13" s="101" t="s">
        <v>127</v>
      </c>
      <c r="D13" s="102"/>
      <c r="E13" s="102"/>
      <c r="F13" s="103"/>
      <c r="G13" s="5"/>
    </row>
    <row r="14" spans="1:7" x14ac:dyDescent="0.25">
      <c r="A14" s="1"/>
      <c r="B14" s="6" t="s">
        <v>16</v>
      </c>
      <c r="C14" s="92" t="s">
        <v>186</v>
      </c>
      <c r="D14" s="93"/>
      <c r="E14" s="93"/>
      <c r="F14" s="94"/>
      <c r="G14" s="5"/>
    </row>
    <row r="15" spans="1:7" x14ac:dyDescent="0.25">
      <c r="A15" s="1"/>
      <c r="B15" s="6" t="s">
        <v>30</v>
      </c>
      <c r="C15" s="92" t="s">
        <v>149</v>
      </c>
      <c r="D15" s="93"/>
      <c r="E15" s="93"/>
      <c r="F15" s="94"/>
      <c r="G15" s="5"/>
    </row>
    <row r="16" spans="1:7" x14ac:dyDescent="0.25">
      <c r="A16" s="1"/>
      <c r="B16" s="6" t="s">
        <v>31</v>
      </c>
      <c r="C16" s="92" t="s">
        <v>151</v>
      </c>
      <c r="D16" s="93"/>
      <c r="E16" s="93"/>
      <c r="F16" s="94"/>
      <c r="G16" s="5"/>
    </row>
    <row r="17" spans="1:8" x14ac:dyDescent="0.25">
      <c r="A17" s="1"/>
      <c r="B17" s="6" t="s">
        <v>61</v>
      </c>
      <c r="C17" s="92" t="s">
        <v>152</v>
      </c>
      <c r="D17" s="93"/>
      <c r="E17" s="93"/>
      <c r="F17" s="94"/>
      <c r="G17" s="5"/>
    </row>
    <row r="18" spans="1:8" x14ac:dyDescent="0.25">
      <c r="A18" s="1"/>
      <c r="B18" s="6" t="s">
        <v>53</v>
      </c>
      <c r="C18" s="89" t="s">
        <v>45</v>
      </c>
      <c r="D18" s="90"/>
      <c r="E18" s="90"/>
      <c r="F18" s="91"/>
      <c r="G18" s="5"/>
    </row>
    <row r="19" spans="1:8" x14ac:dyDescent="0.25">
      <c r="A19" s="1"/>
      <c r="B19" s="6" t="s">
        <v>54</v>
      </c>
      <c r="C19" s="89" t="s">
        <v>46</v>
      </c>
      <c r="D19" s="90"/>
      <c r="E19" s="90"/>
      <c r="F19" s="91"/>
      <c r="G19" s="5"/>
    </row>
    <row r="20" spans="1:8" x14ac:dyDescent="0.25">
      <c r="A20" s="1"/>
      <c r="B20" s="6" t="s">
        <v>7</v>
      </c>
      <c r="C20" s="89" t="s">
        <v>10</v>
      </c>
      <c r="D20" s="90"/>
      <c r="E20" s="90"/>
      <c r="F20" s="91"/>
      <c r="G20" s="5"/>
    </row>
    <row r="21" spans="1:8" x14ac:dyDescent="0.25">
      <c r="A21" s="1"/>
      <c r="B21" s="6" t="s">
        <v>55</v>
      </c>
      <c r="C21" s="96" t="s">
        <v>12</v>
      </c>
      <c r="D21" s="97"/>
      <c r="E21" s="97"/>
      <c r="F21" s="98"/>
      <c r="G21" s="5"/>
    </row>
    <row r="22" spans="1:8" x14ac:dyDescent="0.25">
      <c r="A22" s="1"/>
      <c r="B22" s="6" t="s">
        <v>39</v>
      </c>
      <c r="C22" s="83" t="s">
        <v>153</v>
      </c>
      <c r="D22" s="84"/>
      <c r="E22" s="84"/>
      <c r="F22" s="85"/>
      <c r="G22" s="5"/>
    </row>
    <row r="23" spans="1:8" x14ac:dyDescent="0.25">
      <c r="A23" s="1"/>
      <c r="B23" s="6" t="s">
        <v>8</v>
      </c>
      <c r="C23" s="83" t="s">
        <v>112</v>
      </c>
      <c r="D23" s="84"/>
      <c r="E23" s="84"/>
      <c r="F23" s="85"/>
      <c r="G23" s="5"/>
    </row>
    <row r="24" spans="1:8" x14ac:dyDescent="0.25">
      <c r="A24" s="1"/>
      <c r="B24" s="6" t="s">
        <v>9</v>
      </c>
      <c r="C24" s="83" t="s">
        <v>154</v>
      </c>
      <c r="D24" s="84"/>
      <c r="E24" s="84"/>
      <c r="F24" s="85"/>
      <c r="G24" s="5"/>
    </row>
    <row r="25" spans="1:8" x14ac:dyDescent="0.25">
      <c r="A25" s="1"/>
      <c r="B25" s="6" t="s">
        <v>97</v>
      </c>
      <c r="C25" s="83" t="s">
        <v>91</v>
      </c>
      <c r="D25" s="84"/>
      <c r="E25" s="84"/>
      <c r="F25" s="85"/>
      <c r="G25" s="1"/>
    </row>
    <row r="26" spans="1:8" x14ac:dyDescent="0.25">
      <c r="A26" s="1"/>
      <c r="B26" s="6" t="s">
        <v>98</v>
      </c>
      <c r="C26" s="83" t="s">
        <v>40</v>
      </c>
      <c r="D26" s="84"/>
      <c r="E26" s="84"/>
      <c r="F26" s="85"/>
      <c r="G26" s="1"/>
    </row>
    <row r="27" spans="1:8" x14ac:dyDescent="0.25">
      <c r="A27" s="1"/>
      <c r="B27" s="6" t="s">
        <v>99</v>
      </c>
      <c r="C27" s="83" t="s">
        <v>41</v>
      </c>
      <c r="D27" s="84"/>
      <c r="E27" s="84"/>
      <c r="F27" s="85"/>
      <c r="G27" s="1"/>
    </row>
    <row r="28" spans="1:8" x14ac:dyDescent="0.25">
      <c r="A28" s="1"/>
      <c r="B28" s="6" t="s">
        <v>15</v>
      </c>
      <c r="C28" s="83" t="s">
        <v>42</v>
      </c>
      <c r="D28" s="84"/>
      <c r="E28" s="84"/>
      <c r="F28" s="85"/>
      <c r="G28" s="1"/>
      <c r="H28" s="2" t="s">
        <v>150</v>
      </c>
    </row>
    <row r="29" spans="1:8" x14ac:dyDescent="0.25">
      <c r="A29" s="1"/>
      <c r="B29" s="6" t="s">
        <v>33</v>
      </c>
      <c r="C29" s="83" t="s">
        <v>68</v>
      </c>
      <c r="D29" s="84"/>
      <c r="E29" s="84"/>
      <c r="F29" s="85"/>
      <c r="G29" s="1"/>
    </row>
    <row r="30" spans="1:8" x14ac:dyDescent="0.25">
      <c r="A30" s="1"/>
      <c r="B30" s="6" t="s">
        <v>34</v>
      </c>
      <c r="C30" s="83" t="s">
        <v>32</v>
      </c>
      <c r="D30" s="84"/>
      <c r="E30" s="84"/>
      <c r="F30" s="85"/>
      <c r="G30" s="1"/>
    </row>
    <row r="31" spans="1:8" x14ac:dyDescent="0.25">
      <c r="A31" s="1"/>
      <c r="B31" s="6" t="s">
        <v>100</v>
      </c>
      <c r="C31" s="86" t="s">
        <v>52</v>
      </c>
      <c r="D31" s="87"/>
      <c r="E31" s="87"/>
      <c r="F31" s="88"/>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gP1sOTsJpL15uQUxUa8l6qQyUVRmZn8SqHTcoLr4m3leRNOgC9zEfWNKvVVuKjVF5ifexZSJlpj5o/F2+2sfcQ==" saltValue="QJ3LUSkInxPkm6S4ezn3uw==" spinCount="100000" sheet="1" objects="1" scenarios="1"/>
  <mergeCells count="22">
    <mergeCell ref="C14:F14"/>
    <mergeCell ref="C6:F7"/>
    <mergeCell ref="C21:F21"/>
    <mergeCell ref="C22:F22"/>
    <mergeCell ref="C11:F11"/>
    <mergeCell ref="C8:F8"/>
    <mergeCell ref="C15:F15"/>
    <mergeCell ref="C16:F16"/>
    <mergeCell ref="C19:F19"/>
    <mergeCell ref="C13:F13"/>
    <mergeCell ref="C17:F17"/>
    <mergeCell ref="C20:F20"/>
    <mergeCell ref="C30:F30"/>
    <mergeCell ref="C31:F31"/>
    <mergeCell ref="C18:F18"/>
    <mergeCell ref="C25:F25"/>
    <mergeCell ref="C26:F26"/>
    <mergeCell ref="C29:F29"/>
    <mergeCell ref="C27:F27"/>
    <mergeCell ref="C28:F28"/>
    <mergeCell ref="C24:F24"/>
    <mergeCell ref="C23:F23"/>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155</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90</v>
      </c>
      <c r="C9" s="7">
        <f>'Fane 3. Omkostninger i ØR2024'!C20</f>
        <v>104597164.94389667</v>
      </c>
      <c r="D9" s="8" t="s">
        <v>3</v>
      </c>
      <c r="E9" s="1"/>
    </row>
    <row r="10" spans="1:5" ht="17.25" customHeight="1" x14ac:dyDescent="0.25">
      <c r="A10" s="1"/>
      <c r="B10" s="64" t="s">
        <v>35</v>
      </c>
      <c r="C10" s="7">
        <f>'Fane 11.1. Varige tillæg'!C20</f>
        <v>1263003.5599</v>
      </c>
      <c r="D10" s="8" t="s">
        <v>3</v>
      </c>
      <c r="E10" s="1"/>
    </row>
    <row r="11" spans="1:5" ht="17.25" customHeight="1" x14ac:dyDescent="0.25">
      <c r="A11" s="1"/>
      <c r="B11" s="64" t="s">
        <v>36</v>
      </c>
      <c r="C11" s="9">
        <f>'Fane 11.1. Varige tillæg'!E20</f>
        <v>899706.61950000003</v>
      </c>
      <c r="D11" s="8" t="s">
        <v>3</v>
      </c>
      <c r="E11" s="1"/>
    </row>
    <row r="12" spans="1:5" ht="17.25" customHeight="1" x14ac:dyDescent="0.25">
      <c r="A12" s="1"/>
      <c r="B12" s="64" t="s">
        <v>25</v>
      </c>
      <c r="C12" s="9">
        <f>-'Fane 14. Bortfald'!C12</f>
        <v>0</v>
      </c>
      <c r="D12" s="8" t="s">
        <v>3</v>
      </c>
      <c r="E12" s="1"/>
    </row>
    <row r="13" spans="1:5" ht="17.25" customHeight="1" x14ac:dyDescent="0.25">
      <c r="A13" s="1"/>
      <c r="B13" s="64" t="s">
        <v>24</v>
      </c>
      <c r="C13" s="9">
        <f>-'Fane 14. Bortfald'!E12</f>
        <v>0</v>
      </c>
      <c r="D13" s="8" t="s">
        <v>3</v>
      </c>
      <c r="E13" s="1"/>
    </row>
    <row r="14" spans="1:5" ht="17.25" customHeight="1" x14ac:dyDescent="0.25">
      <c r="A14" s="1"/>
      <c r="B14" s="64" t="s">
        <v>62</v>
      </c>
      <c r="C14" s="9">
        <f>'Fane 13. Tilknyttet virksomhed'!C12</f>
        <v>0</v>
      </c>
      <c r="D14" s="8" t="s">
        <v>3</v>
      </c>
      <c r="E14" s="1"/>
    </row>
    <row r="15" spans="1:5" ht="17.25" customHeight="1" x14ac:dyDescent="0.25">
      <c r="A15" s="1"/>
      <c r="B15" s="64" t="s">
        <v>63</v>
      </c>
      <c r="C15" s="9">
        <f>'Fane 13. Tilknyttet virksomhed'!E12</f>
        <v>0</v>
      </c>
      <c r="D15" s="8" t="s">
        <v>3</v>
      </c>
      <c r="E15" s="1"/>
    </row>
    <row r="16" spans="1:5" ht="17.25" customHeight="1" x14ac:dyDescent="0.25">
      <c r="A16" s="1"/>
      <c r="B16" s="64" t="s">
        <v>19</v>
      </c>
      <c r="C16" s="38">
        <f>SUM(C9)*'Fane 15. Nøgletal'!C9+SUM(C10:C11,C14:C15)*'Fane 15. Nøgletal'!C10</f>
        <v>8594838.6123610698</v>
      </c>
      <c r="D16" s="8" t="s">
        <v>3</v>
      </c>
      <c r="E16" s="1"/>
    </row>
    <row r="17" spans="1:5" ht="17.25" customHeight="1" x14ac:dyDescent="0.25">
      <c r="A17" s="1"/>
      <c r="B17" s="64" t="s">
        <v>10</v>
      </c>
      <c r="C17" s="38">
        <f>-SUM(C9,C10:C16)*'Fane 5. Individuelt eff. krav'!C9</f>
        <v>-362420.90930443187</v>
      </c>
      <c r="D17" s="8" t="s">
        <v>3</v>
      </c>
      <c r="E17" s="1"/>
    </row>
    <row r="18" spans="1:5" ht="17.25" customHeight="1" x14ac:dyDescent="0.25">
      <c r="A18" s="1"/>
      <c r="B18" s="64" t="s">
        <v>22</v>
      </c>
      <c r="C18" s="38">
        <f>-'Fane 4.1. Gen. krav - drift'!C17</f>
        <v>-1040568.7179251292</v>
      </c>
      <c r="D18" s="8" t="s">
        <v>3</v>
      </c>
      <c r="E18" s="1"/>
    </row>
    <row r="19" spans="1:5" ht="17.25" customHeight="1" x14ac:dyDescent="0.25">
      <c r="A19" s="1"/>
      <c r="B19" s="64" t="s">
        <v>23</v>
      </c>
      <c r="C19" s="38">
        <f>-'Fane 4.2. Gen. krav - anlæg'!C17</f>
        <v>0</v>
      </c>
      <c r="D19" s="8" t="s">
        <v>3</v>
      </c>
      <c r="E19" s="43"/>
    </row>
    <row r="20" spans="1:5" ht="17.25" customHeight="1" x14ac:dyDescent="0.25">
      <c r="A20" s="1"/>
      <c r="B20" s="81" t="s">
        <v>21</v>
      </c>
      <c r="C20" s="10">
        <f>SUM(C9:C19)</f>
        <v>113951724.10842818</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4603752.3985944996</v>
      </c>
      <c r="D22" s="11" t="s">
        <v>3</v>
      </c>
      <c r="E22" s="1"/>
    </row>
    <row r="23" spans="1:5" ht="15" customHeight="1" x14ac:dyDescent="0.25">
      <c r="A23" s="1"/>
      <c r="B23" s="33" t="s">
        <v>42</v>
      </c>
      <c r="C23" s="28"/>
      <c r="D23" s="19"/>
      <c r="E23" s="1"/>
    </row>
    <row r="24" spans="1:5" ht="15" customHeight="1" x14ac:dyDescent="0.25">
      <c r="A24" s="1"/>
      <c r="B24" s="81" t="s">
        <v>42</v>
      </c>
      <c r="C24" s="10">
        <f>'Fane 12. Periodevise driftsomk.'!C12</f>
        <v>0</v>
      </c>
      <c r="D24" s="11" t="s">
        <v>3</v>
      </c>
      <c r="E24" s="1"/>
    </row>
    <row r="25" spans="1:5" ht="15" customHeight="1" x14ac:dyDescent="0.25">
      <c r="A25" s="1"/>
      <c r="B25" s="41" t="s">
        <v>41</v>
      </c>
      <c r="C25" s="39"/>
      <c r="D25" s="40"/>
      <c r="E25" s="1"/>
    </row>
    <row r="26" spans="1:5" ht="15" customHeight="1" x14ac:dyDescent="0.25">
      <c r="A26" s="1"/>
      <c r="B26" s="64" t="s">
        <v>89</v>
      </c>
      <c r="C26" s="38">
        <f>'Fane 11.2. Engangstillæg'!C14</f>
        <v>2973335.8260008902</v>
      </c>
      <c r="D26" s="8" t="s">
        <v>3</v>
      </c>
      <c r="E26" s="1"/>
    </row>
    <row r="27" spans="1:5" ht="15" customHeight="1" x14ac:dyDescent="0.25">
      <c r="A27" s="1"/>
      <c r="B27" s="64" t="s">
        <v>38</v>
      </c>
      <c r="C27" s="38">
        <f>'Fane 11.2. Engangstillæg'!E14</f>
        <v>0</v>
      </c>
      <c r="D27" s="8" t="s">
        <v>3</v>
      </c>
      <c r="E27" s="1"/>
    </row>
    <row r="28" spans="1:5" ht="15" customHeight="1" x14ac:dyDescent="0.25">
      <c r="A28" s="1"/>
      <c r="B28" s="64" t="s">
        <v>92</v>
      </c>
      <c r="C28" s="38">
        <f>-C26*('Fane 15. Nøgletal'!C21+'Fane 5. Individuelt eff. krav'!C9)</f>
        <v>-68808.329349087537</v>
      </c>
      <c r="D28" s="8" t="s">
        <v>3</v>
      </c>
      <c r="E28" s="1"/>
    </row>
    <row r="29" spans="1:5" ht="15" customHeight="1" x14ac:dyDescent="0.25">
      <c r="A29" s="1"/>
      <c r="B29" s="64" t="s">
        <v>93</v>
      </c>
      <c r="C29" s="38">
        <f>-C27*('Fane 15. Nøgletal'!C16+'Fane 5. Individuelt eff. krav'!C9)</f>
        <v>0</v>
      </c>
      <c r="D29" s="8" t="s">
        <v>3</v>
      </c>
      <c r="E29" s="1"/>
    </row>
    <row r="30" spans="1:5" ht="15" customHeight="1" x14ac:dyDescent="0.25">
      <c r="A30" s="1"/>
      <c r="B30" s="67" t="s">
        <v>43</v>
      </c>
      <c r="C30" s="10">
        <f>SUM(C26:C29)</f>
        <v>2904527.4966518027</v>
      </c>
      <c r="D30" s="11" t="s">
        <v>3</v>
      </c>
      <c r="E30" s="1"/>
    </row>
    <row r="31" spans="1:5" x14ac:dyDescent="0.25">
      <c r="A31" s="1"/>
      <c r="B31" s="33" t="s">
        <v>69</v>
      </c>
      <c r="C31" s="28"/>
      <c r="D31" s="19"/>
      <c r="E31" s="1"/>
    </row>
    <row r="32" spans="1:5" x14ac:dyDescent="0.25">
      <c r="A32" s="1"/>
      <c r="B32" s="31" t="s">
        <v>79</v>
      </c>
      <c r="C32" s="62">
        <f>'Fane 7. Kontrol af ØR2023'!C27</f>
        <v>-572114.46348111331</v>
      </c>
      <c r="D32" s="11" t="s">
        <v>3</v>
      </c>
      <c r="E32" s="1"/>
    </row>
    <row r="33" spans="1:5" ht="15" customHeight="1" x14ac:dyDescent="0.25">
      <c r="A33" s="1"/>
      <c r="B33" s="33" t="s">
        <v>154</v>
      </c>
      <c r="C33" s="28"/>
      <c r="D33" s="19"/>
      <c r="E33" s="1"/>
    </row>
    <row r="34" spans="1:5" x14ac:dyDescent="0.25">
      <c r="A34" s="1"/>
      <c r="B34" s="31" t="s">
        <v>154</v>
      </c>
      <c r="C34" s="10">
        <f>'Fane 9. Korrektion af ØR2023'!C16</f>
        <v>0</v>
      </c>
      <c r="D34" s="11" t="s">
        <v>3</v>
      </c>
      <c r="E34" s="1"/>
    </row>
    <row r="35" spans="1:5" x14ac:dyDescent="0.25">
      <c r="A35" s="1"/>
      <c r="B35" s="30" t="s">
        <v>75</v>
      </c>
      <c r="C35" s="28"/>
      <c r="D35" s="19"/>
      <c r="E35" s="1"/>
    </row>
    <row r="36" spans="1:5" x14ac:dyDescent="0.25">
      <c r="A36" s="1"/>
      <c r="B36" s="67" t="s">
        <v>76</v>
      </c>
      <c r="C36" s="10">
        <f>'Fane 8. Skattesagen'!C14</f>
        <v>0</v>
      </c>
      <c r="D36" s="11" t="s">
        <v>3</v>
      </c>
      <c r="E36" s="1"/>
    </row>
    <row r="37" spans="1:5" x14ac:dyDescent="0.25">
      <c r="A37" s="1"/>
      <c r="B37" s="33" t="s">
        <v>71</v>
      </c>
      <c r="C37" s="45">
        <f>SUM(C34,C32,C24,C30,C22,C20,C36)</f>
        <v>120887889.54019336</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8cO8SHgo58YdSAlhYn1+GU3WBe75TgaaQJo6+6bOLMbI0/XWl+REh3U/U0Lm267l9eP1CKl207O/TYk2JI7Hg==" saltValue="MlALFndoEMJXV0OD1woYvw=="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156</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80</v>
      </c>
      <c r="C9" s="7">
        <f>'Fane 2.1. Økonomisk ramme 2025'!C20</f>
        <v>113951724.10842818</v>
      </c>
      <c r="D9" s="8" t="s">
        <v>3</v>
      </c>
      <c r="E9" s="1"/>
    </row>
    <row r="10" spans="1:5" ht="15" customHeight="1" x14ac:dyDescent="0.25">
      <c r="A10" s="1"/>
      <c r="B10" s="26" t="s">
        <v>19</v>
      </c>
      <c r="C10" s="7">
        <f>C9*'Fane 15. Nøgletal'!C10</f>
        <v>7554999.3083887883</v>
      </c>
      <c r="D10" s="8" t="s">
        <v>3</v>
      </c>
      <c r="E10" s="1"/>
    </row>
    <row r="11" spans="1:5" ht="15" customHeight="1" x14ac:dyDescent="0.25">
      <c r="A11" s="1"/>
      <c r="B11" s="26" t="s">
        <v>10</v>
      </c>
      <c r="C11" s="9">
        <f>-SUM(C9:C10)*'Fane 5. Individuelt eff. krav'!C9</f>
        <v>-381749.26503859542</v>
      </c>
      <c r="D11" s="8" t="s">
        <v>3</v>
      </c>
      <c r="E11" s="1"/>
    </row>
    <row r="12" spans="1:5" ht="15" customHeight="1" x14ac:dyDescent="0.25">
      <c r="A12" s="1"/>
      <c r="B12" s="26" t="s">
        <v>22</v>
      </c>
      <c r="C12" s="9">
        <f>-'Fane 4.1. Gen. krav - drift'!C22</f>
        <v>-1087367.2554450938</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120037606.89633328</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4908981.1826213151</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driftsomk.'!C18</f>
        <v>0</v>
      </c>
      <c r="D18" s="11" t="s">
        <v>3</v>
      </c>
      <c r="E18" s="1"/>
    </row>
    <row r="19" spans="1:5" x14ac:dyDescent="0.25">
      <c r="A19" s="1"/>
      <c r="B19" s="33" t="s">
        <v>69</v>
      </c>
      <c r="C19" s="28"/>
      <c r="D19" s="19"/>
      <c r="E19" s="1"/>
    </row>
    <row r="20" spans="1:5" ht="15" customHeight="1" x14ac:dyDescent="0.25">
      <c r="A20" s="1"/>
      <c r="B20" s="31" t="s">
        <v>79</v>
      </c>
      <c r="C20" s="10">
        <f>'Fane 7. Kontrol af ØR2023'!C33</f>
        <v>-3785469.3641103581</v>
      </c>
      <c r="D20" s="11" t="s">
        <v>3</v>
      </c>
      <c r="E20" s="1"/>
    </row>
    <row r="21" spans="1:5" x14ac:dyDescent="0.25">
      <c r="A21" s="1"/>
      <c r="B21" s="30" t="s">
        <v>75</v>
      </c>
      <c r="C21" s="28"/>
      <c r="D21" s="19"/>
      <c r="E21" s="1"/>
    </row>
    <row r="22" spans="1:5" x14ac:dyDescent="0.25">
      <c r="A22" s="1"/>
      <c r="B22" s="67" t="s">
        <v>76</v>
      </c>
      <c r="C22" s="10">
        <f>'Fane 8. Skattesagen'!C15</f>
        <v>0</v>
      </c>
      <c r="D22" s="11" t="s">
        <v>3</v>
      </c>
      <c r="E22" s="1"/>
    </row>
    <row r="23" spans="1:5" x14ac:dyDescent="0.25">
      <c r="A23" s="1"/>
      <c r="B23" s="33" t="s">
        <v>81</v>
      </c>
      <c r="C23" s="12">
        <f>SUM(C14,C16,C18,C20,C22)</f>
        <v>121161118.71484423</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3RUaYKXZKNyVZmWGvESFX98HPQI8NZEuLneGxkJcz534JtEMQrMdCHJFmALplxXGMhOo0pyd25v6qtGR0Dv/wg==" saltValue="OzceFcsmNKeLnZPTpL9xYA=="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157</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3"/>
      <c r="C6" s="73"/>
      <c r="D6" s="73"/>
      <c r="E6" s="1"/>
    </row>
    <row r="7" spans="1:5" x14ac:dyDescent="0.25">
      <c r="A7" s="1"/>
      <c r="B7" s="1"/>
      <c r="C7" s="1"/>
      <c r="D7" s="1"/>
      <c r="E7" s="1"/>
    </row>
    <row r="8" spans="1:5" x14ac:dyDescent="0.25">
      <c r="A8" s="1"/>
      <c r="B8" s="33" t="s">
        <v>13</v>
      </c>
      <c r="C8" s="28"/>
      <c r="D8" s="19"/>
      <c r="E8" s="1"/>
    </row>
    <row r="9" spans="1:5" ht="15" customHeight="1" x14ac:dyDescent="0.25">
      <c r="A9" s="1"/>
      <c r="B9" s="29" t="s">
        <v>129</v>
      </c>
      <c r="C9" s="7">
        <f>'Fane 2.2. Økonomisk ramme 2026'!C14</f>
        <v>120037606.89633328</v>
      </c>
      <c r="D9" s="8" t="s">
        <v>3</v>
      </c>
      <c r="E9" s="1"/>
    </row>
    <row r="10" spans="1:5" ht="15" customHeight="1" x14ac:dyDescent="0.25">
      <c r="A10" s="1"/>
      <c r="B10" s="26" t="s">
        <v>19</v>
      </c>
      <c r="C10" s="7">
        <f>SUM(C9:C9)*'Fane 15. Nøgletal'!C10</f>
        <v>7958493.3372268956</v>
      </c>
      <c r="D10" s="8" t="s">
        <v>3</v>
      </c>
      <c r="E10" s="1"/>
    </row>
    <row r="11" spans="1:5" ht="15" customHeight="1" x14ac:dyDescent="0.25">
      <c r="A11" s="1"/>
      <c r="B11" s="26" t="s">
        <v>10</v>
      </c>
      <c r="C11" s="9">
        <f>-SUM(C9:C10)*'Fane 5. Individuelt eff. krav'!C9</f>
        <v>-402137.55928838794</v>
      </c>
      <c r="D11" s="8" t="s">
        <v>3</v>
      </c>
      <c r="E11" s="1"/>
    </row>
    <row r="12" spans="1:5" ht="15" customHeight="1" x14ac:dyDescent="0.25">
      <c r="A12" s="1"/>
      <c r="B12" s="26" t="s">
        <v>22</v>
      </c>
      <c r="C12" s="9">
        <f>-'Fane 4.1. Gen. krav - drift'!C27</f>
        <v>-1136270.5103914815</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126457692.1638803</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5234446.6350291083</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driftsomk.'!C24</f>
        <v>0</v>
      </c>
      <c r="D18" s="11" t="s">
        <v>3</v>
      </c>
      <c r="E18" s="1"/>
    </row>
    <row r="19" spans="1:5" ht="15" customHeight="1" x14ac:dyDescent="0.25">
      <c r="A19" s="1"/>
      <c r="B19" s="33" t="s">
        <v>69</v>
      </c>
      <c r="C19" s="28"/>
      <c r="D19" s="19"/>
      <c r="E19" s="1"/>
    </row>
    <row r="20" spans="1:5" ht="15" customHeight="1" x14ac:dyDescent="0.25">
      <c r="A20" s="1"/>
      <c r="B20" s="31" t="s">
        <v>79</v>
      </c>
      <c r="C20" s="10">
        <f>'Fane 7. Kontrol af ØR2023'!C33</f>
        <v>-3785469.3641103581</v>
      </c>
      <c r="D20" s="11" t="s">
        <v>3</v>
      </c>
      <c r="E20" s="1"/>
    </row>
    <row r="21" spans="1:5" x14ac:dyDescent="0.25">
      <c r="A21" s="1"/>
      <c r="B21" s="30" t="s">
        <v>75</v>
      </c>
      <c r="C21" s="28"/>
      <c r="D21" s="19"/>
      <c r="E21" s="1"/>
    </row>
    <row r="22" spans="1:5" x14ac:dyDescent="0.25">
      <c r="A22" s="1"/>
      <c r="B22" s="67" t="s">
        <v>76</v>
      </c>
      <c r="C22" s="10">
        <f>'Fane 8. Skattesagen'!C16</f>
        <v>0</v>
      </c>
      <c r="D22" s="11" t="s">
        <v>3</v>
      </c>
      <c r="E22" s="1"/>
    </row>
    <row r="23" spans="1:5" x14ac:dyDescent="0.25">
      <c r="A23" s="1"/>
      <c r="B23" s="33" t="s">
        <v>130</v>
      </c>
      <c r="C23" s="12">
        <f>SUM(C14,C16,C18,C20,C22)</f>
        <v>127906669.43479905</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4mRodhfHUmN/W8wl/kx5PzviNzbJo4e5IPRWo0roiqmZiHwEWisFce7Xo9Uo0DDJUJyoudMacc446HA/JF1DAw==" saltValue="m+Kxo3beJlfwpWe+MYmfBQ=="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158</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3"/>
      <c r="C6" s="73"/>
      <c r="D6" s="73"/>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2.3. Økonomisk ramme 2027'!C14</f>
        <v>126457692.1638803</v>
      </c>
      <c r="D9" s="8" t="s">
        <v>3</v>
      </c>
      <c r="E9" s="1"/>
    </row>
    <row r="10" spans="1:5" ht="15" customHeight="1" x14ac:dyDescent="0.25">
      <c r="A10" s="1"/>
      <c r="B10" s="26" t="s">
        <v>19</v>
      </c>
      <c r="C10" s="7">
        <f>SUM(C9:C9)*'Fane 15. Nøgletal'!C10</f>
        <v>8384144.9904652638</v>
      </c>
      <c r="D10" s="8" t="s">
        <v>3</v>
      </c>
      <c r="E10" s="1"/>
    </row>
    <row r="11" spans="1:5" ht="15" customHeight="1" x14ac:dyDescent="0.25">
      <c r="A11" s="1"/>
      <c r="B11" s="26" t="s">
        <v>10</v>
      </c>
      <c r="C11" s="9">
        <f>-SUM(C9:C10)*'Fane 5. Individuelt eff. krav'!C9</f>
        <v>-423645.46407479671</v>
      </c>
      <c r="D11" s="8" t="s">
        <v>3</v>
      </c>
      <c r="E11" s="1"/>
    </row>
    <row r="12" spans="1:5" ht="15" customHeight="1" x14ac:dyDescent="0.25">
      <c r="A12" s="1"/>
      <c r="B12" s="26" t="s">
        <v>22</v>
      </c>
      <c r="C12" s="9">
        <f>-'Fane 4.1. Gen. krav - drift'!C32</f>
        <v>-1187373.140325828</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133230818.54994495</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5581490.4469315382</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driftsomk.'!C30</f>
        <v>0</v>
      </c>
      <c r="D18" s="11" t="s">
        <v>3</v>
      </c>
      <c r="E18" s="1"/>
    </row>
    <row r="19" spans="1:5" x14ac:dyDescent="0.25">
      <c r="A19" s="1"/>
      <c r="B19" s="30" t="s">
        <v>75</v>
      </c>
      <c r="C19" s="28"/>
      <c r="D19" s="19"/>
      <c r="E19" s="1"/>
    </row>
    <row r="20" spans="1:5" x14ac:dyDescent="0.25">
      <c r="A20" s="1"/>
      <c r="B20" s="67" t="s">
        <v>76</v>
      </c>
      <c r="C20" s="10">
        <f>'Fane 8. Skattesagen'!C17</f>
        <v>0</v>
      </c>
      <c r="D20" s="11" t="s">
        <v>3</v>
      </c>
      <c r="E20" s="1"/>
    </row>
    <row r="21" spans="1:5" x14ac:dyDescent="0.25">
      <c r="A21" s="1"/>
      <c r="B21" s="33" t="s">
        <v>160</v>
      </c>
      <c r="C21" s="12">
        <f>SUM(C14,C16,C18,C20)</f>
        <v>138812308.99687648</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epQzEkWA/cXpyJdX6Qh/QaeaI0mRZkbuGCzhUZPZDLonYxKr0xHQxcEb+7/ydW+IwLv+lnrN0Hhjwe9BAROJag==" saltValue="Txr7M93w6KHwjoban8EIrA=="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07" t="s">
        <v>161</v>
      </c>
      <c r="C3" s="107"/>
      <c r="D3" s="107"/>
      <c r="E3" s="1"/>
    </row>
    <row r="4" spans="1:5" ht="15" customHeight="1" x14ac:dyDescent="0.25">
      <c r="A4" s="1"/>
      <c r="B4" s="107"/>
      <c r="C4" s="107"/>
      <c r="D4" s="107"/>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162</v>
      </c>
      <c r="C8" s="28"/>
      <c r="D8" s="19"/>
      <c r="E8" s="1"/>
    </row>
    <row r="9" spans="1:5" ht="15" customHeight="1" x14ac:dyDescent="0.25">
      <c r="A9" s="1"/>
      <c r="B9" s="29" t="s">
        <v>64</v>
      </c>
      <c r="C9" s="7">
        <v>96501759.366691917</v>
      </c>
      <c r="D9" s="8" t="s">
        <v>3</v>
      </c>
      <c r="E9" s="1"/>
    </row>
    <row r="10" spans="1:5" ht="15" customHeight="1" x14ac:dyDescent="0.25">
      <c r="A10" s="1"/>
      <c r="B10" s="64" t="s">
        <v>35</v>
      </c>
      <c r="C10" s="7">
        <v>200752.1152</v>
      </c>
      <c r="D10" s="8" t="s">
        <v>3</v>
      </c>
      <c r="E10" s="1"/>
    </row>
    <row r="11" spans="1:5" ht="15" customHeight="1" x14ac:dyDescent="0.25">
      <c r="A11" s="1"/>
      <c r="B11" s="64" t="s">
        <v>36</v>
      </c>
      <c r="C11" s="9">
        <v>1268283.1336000001</v>
      </c>
      <c r="D11" s="8" t="s">
        <v>3</v>
      </c>
      <c r="E11" s="1"/>
    </row>
    <row r="12" spans="1:5" ht="15" customHeight="1" x14ac:dyDescent="0.25">
      <c r="A12" s="1"/>
      <c r="B12" s="64" t="s">
        <v>25</v>
      </c>
      <c r="C12" s="9">
        <v>0</v>
      </c>
      <c r="D12" s="8" t="s">
        <v>3</v>
      </c>
      <c r="E12" s="1"/>
    </row>
    <row r="13" spans="1:5" ht="15" customHeight="1" x14ac:dyDescent="0.25">
      <c r="A13" s="1"/>
      <c r="B13" s="64" t="s">
        <v>24</v>
      </c>
      <c r="C13" s="9">
        <v>0</v>
      </c>
      <c r="D13" s="8" t="s">
        <v>3</v>
      </c>
      <c r="E13" s="1"/>
    </row>
    <row r="14" spans="1:5" ht="15" customHeight="1" x14ac:dyDescent="0.25">
      <c r="A14" s="1"/>
      <c r="B14" s="64" t="s">
        <v>62</v>
      </c>
      <c r="C14" s="9">
        <v>0</v>
      </c>
      <c r="D14" s="8" t="s">
        <v>3</v>
      </c>
      <c r="E14" s="1"/>
    </row>
    <row r="15" spans="1:5" ht="15" customHeight="1" x14ac:dyDescent="0.25">
      <c r="A15" s="1"/>
      <c r="B15" s="64" t="s">
        <v>63</v>
      </c>
      <c r="C15" s="9">
        <v>0</v>
      </c>
      <c r="D15" s="8" t="s">
        <v>3</v>
      </c>
      <c r="E15" s="1"/>
    </row>
    <row r="16" spans="1:5" ht="15" customHeight="1" x14ac:dyDescent="0.25">
      <c r="A16" s="1"/>
      <c r="B16" s="64" t="s">
        <v>19</v>
      </c>
      <c r="C16" s="38">
        <v>7916040.2049317462</v>
      </c>
      <c r="D16" s="8" t="s">
        <v>3</v>
      </c>
      <c r="E16" s="1"/>
    </row>
    <row r="17" spans="1:5" ht="15" customHeight="1" x14ac:dyDescent="0.25">
      <c r="A17" s="1"/>
      <c r="B17" s="64" t="s">
        <v>10</v>
      </c>
      <c r="C17" s="38">
        <v>-332674.77085441106</v>
      </c>
      <c r="D17" s="8" t="s">
        <v>3</v>
      </c>
      <c r="E17" s="1"/>
    </row>
    <row r="18" spans="1:5" ht="15" customHeight="1" x14ac:dyDescent="0.25">
      <c r="A18" s="1"/>
      <c r="B18" s="64" t="s">
        <v>22</v>
      </c>
      <c r="C18" s="38">
        <v>-956995.105672576</v>
      </c>
      <c r="D18" s="8" t="s">
        <v>3</v>
      </c>
      <c r="E18" s="1"/>
    </row>
    <row r="19" spans="1:5" ht="15" customHeight="1" x14ac:dyDescent="0.25">
      <c r="A19" s="1"/>
      <c r="B19" s="64" t="s">
        <v>23</v>
      </c>
      <c r="C19" s="38">
        <v>0</v>
      </c>
      <c r="D19" s="8" t="s">
        <v>3</v>
      </c>
      <c r="E19" s="43"/>
    </row>
    <row r="20" spans="1:5" ht="15" customHeight="1" x14ac:dyDescent="0.25">
      <c r="A20" s="1"/>
      <c r="B20" s="81" t="s">
        <v>21</v>
      </c>
      <c r="C20" s="10">
        <v>104597164.94389667</v>
      </c>
      <c r="D20" s="11" t="s">
        <v>3</v>
      </c>
      <c r="E20" s="1"/>
    </row>
    <row r="21" spans="1:5" ht="15" customHeight="1" x14ac:dyDescent="0.25">
      <c r="A21" s="1"/>
      <c r="B21" s="33" t="s">
        <v>12</v>
      </c>
      <c r="C21" s="28"/>
      <c r="D21" s="19"/>
      <c r="E21" s="1"/>
    </row>
    <row r="22" spans="1:5" ht="15" customHeight="1" x14ac:dyDescent="0.25">
      <c r="A22" s="1"/>
      <c r="B22" s="31" t="s">
        <v>12</v>
      </c>
      <c r="C22" s="10">
        <v>2970646.9180684797</v>
      </c>
      <c r="D22" s="11" t="s">
        <v>3</v>
      </c>
      <c r="E22" s="1"/>
    </row>
    <row r="23" spans="1:5" ht="15" customHeight="1" x14ac:dyDescent="0.25">
      <c r="A23" s="1"/>
      <c r="B23" s="33" t="s">
        <v>42</v>
      </c>
      <c r="C23" s="28"/>
      <c r="D23" s="19"/>
      <c r="E23" s="1"/>
    </row>
    <row r="24" spans="1:5" ht="15" customHeight="1" x14ac:dyDescent="0.25">
      <c r="A24" s="1"/>
      <c r="B24" s="81" t="s">
        <v>42</v>
      </c>
      <c r="C24" s="10">
        <v>0</v>
      </c>
      <c r="D24" s="11" t="s">
        <v>3</v>
      </c>
      <c r="E24" s="1"/>
    </row>
    <row r="25" spans="1:5" x14ac:dyDescent="0.25">
      <c r="A25" s="1"/>
      <c r="B25" s="41" t="s">
        <v>41</v>
      </c>
      <c r="C25" s="39"/>
      <c r="D25" s="40"/>
      <c r="E25" s="1"/>
    </row>
    <row r="26" spans="1:5" ht="15" customHeight="1" x14ac:dyDescent="0.25">
      <c r="A26" s="1"/>
      <c r="B26" s="64" t="s">
        <v>89</v>
      </c>
      <c r="C26" s="38">
        <v>3021642.7419763198</v>
      </c>
      <c r="D26" s="8" t="s">
        <v>3</v>
      </c>
      <c r="E26" s="1"/>
    </row>
    <row r="27" spans="1:5" ht="15" customHeight="1" x14ac:dyDescent="0.25">
      <c r="A27" s="1"/>
      <c r="B27" s="64" t="s">
        <v>38</v>
      </c>
      <c r="C27" s="38">
        <v>0</v>
      </c>
      <c r="D27" s="8" t="s">
        <v>3</v>
      </c>
      <c r="E27" s="1"/>
    </row>
    <row r="28" spans="1:5" ht="15" customHeight="1" x14ac:dyDescent="0.25">
      <c r="A28" s="1"/>
      <c r="B28" s="64" t="s">
        <v>92</v>
      </c>
      <c r="C28" s="38">
        <v>-69926.238115130531</v>
      </c>
      <c r="D28" s="8" t="s">
        <v>3</v>
      </c>
      <c r="E28" s="1"/>
    </row>
    <row r="29" spans="1:5" ht="15" customHeight="1" x14ac:dyDescent="0.25">
      <c r="A29" s="1"/>
      <c r="B29" s="64" t="s">
        <v>93</v>
      </c>
      <c r="C29" s="38">
        <v>0</v>
      </c>
      <c r="D29" s="8" t="s">
        <v>3</v>
      </c>
      <c r="E29" s="1"/>
    </row>
    <row r="30" spans="1:5" ht="15" customHeight="1" x14ac:dyDescent="0.25">
      <c r="A30" s="1"/>
      <c r="B30" s="67" t="s">
        <v>43</v>
      </c>
      <c r="C30" s="10">
        <v>2951716.5038611894</v>
      </c>
      <c r="D30" s="11" t="s">
        <v>3</v>
      </c>
      <c r="E30" s="1"/>
    </row>
    <row r="31" spans="1:5" ht="15" customHeight="1" x14ac:dyDescent="0.25">
      <c r="A31" s="1"/>
      <c r="B31" s="33" t="s">
        <v>69</v>
      </c>
      <c r="C31" s="28"/>
      <c r="D31" s="19"/>
      <c r="E31" s="1"/>
    </row>
    <row r="32" spans="1:5" ht="15" customHeight="1" x14ac:dyDescent="0.25">
      <c r="A32" s="1"/>
      <c r="B32" s="31" t="s">
        <v>79</v>
      </c>
      <c r="C32" s="10">
        <v>-572114.5</v>
      </c>
      <c r="D32" s="11" t="s">
        <v>3</v>
      </c>
      <c r="E32" s="1"/>
    </row>
    <row r="33" spans="1:5" x14ac:dyDescent="0.25">
      <c r="A33" s="1"/>
      <c r="B33" s="33" t="s">
        <v>128</v>
      </c>
      <c r="C33" s="28"/>
      <c r="D33" s="19"/>
      <c r="E33" s="1"/>
    </row>
    <row r="34" spans="1:5" ht="15.4" customHeight="1" x14ac:dyDescent="0.25">
      <c r="A34" s="1"/>
      <c r="B34" s="31" t="s">
        <v>128</v>
      </c>
      <c r="C34" s="10">
        <v>0</v>
      </c>
      <c r="D34" s="11" t="s">
        <v>3</v>
      </c>
      <c r="E34" s="1"/>
    </row>
    <row r="35" spans="1:5" ht="15.4" customHeight="1" x14ac:dyDescent="0.25">
      <c r="A35" s="1"/>
      <c r="B35" s="30" t="s">
        <v>75</v>
      </c>
      <c r="C35" s="28"/>
      <c r="D35" s="19"/>
      <c r="E35" s="1"/>
    </row>
    <row r="36" spans="1:5" x14ac:dyDescent="0.25">
      <c r="A36" s="1"/>
      <c r="B36" s="67" t="s">
        <v>76</v>
      </c>
      <c r="C36" s="10">
        <v>0</v>
      </c>
      <c r="D36" s="11" t="s">
        <v>3</v>
      </c>
      <c r="E36" s="1"/>
    </row>
    <row r="37" spans="1:5" x14ac:dyDescent="0.25">
      <c r="A37" s="1"/>
      <c r="B37" s="30" t="s">
        <v>213</v>
      </c>
      <c r="C37" s="28"/>
      <c r="D37" s="19"/>
      <c r="E37" s="1"/>
    </row>
    <row r="38" spans="1:5" x14ac:dyDescent="0.25">
      <c r="A38" s="1"/>
      <c r="B38" s="67" t="s">
        <v>214</v>
      </c>
      <c r="C38" s="10">
        <v>522525.88163138018</v>
      </c>
      <c r="D38" s="11" t="s">
        <v>3</v>
      </c>
      <c r="E38" s="1"/>
    </row>
    <row r="39" spans="1:5" x14ac:dyDescent="0.25">
      <c r="A39" s="1"/>
      <c r="B39" s="33" t="s">
        <v>65</v>
      </c>
      <c r="C39" s="45">
        <v>110469939.74745771</v>
      </c>
      <c r="D39" s="30" t="s">
        <v>3</v>
      </c>
      <c r="E39" s="1"/>
    </row>
    <row r="40" spans="1:5" ht="30" customHeight="1" x14ac:dyDescent="0.25">
      <c r="A40" s="1"/>
      <c r="B40" s="106" t="s">
        <v>225</v>
      </c>
      <c r="C40" s="106"/>
      <c r="D40" s="106"/>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wBOI2jN0B6z91JqBm1cCG/eUq7EiWFgfI35ud3aPNOG6tphP6LwFlx8uTnvz8Li0i5QfGrBjoyR27aW6GGQRWg==" saltValue="idRis4GWxvzSqMzA1lYvrg==" spinCount="100000" sheet="1" objects="1" scenarios="1"/>
  <mergeCells count="2">
    <mergeCell ref="B40:D40"/>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07" t="s">
        <v>56</v>
      </c>
      <c r="C3" s="107"/>
      <c r="D3" s="107"/>
      <c r="E3" s="1"/>
    </row>
    <row r="4" spans="1:5" ht="15" customHeight="1" x14ac:dyDescent="0.25">
      <c r="A4" s="1"/>
      <c r="B4" s="107"/>
      <c r="C4" s="107"/>
      <c r="D4" s="107"/>
      <c r="E4" s="1"/>
    </row>
    <row r="5" spans="1:5" ht="15" customHeight="1" x14ac:dyDescent="0.25">
      <c r="A5" s="1"/>
      <c r="B5" s="107"/>
      <c r="C5" s="107"/>
      <c r="D5" s="107"/>
      <c r="E5" s="1"/>
    </row>
    <row r="6" spans="1:5" ht="15" customHeight="1" x14ac:dyDescent="0.25">
      <c r="A6" s="1"/>
      <c r="B6" s="74"/>
      <c r="C6" s="74"/>
      <c r="D6" s="74"/>
      <c r="E6" s="1"/>
    </row>
    <row r="7" spans="1:5" x14ac:dyDescent="0.25">
      <c r="A7" s="1"/>
      <c r="B7" s="1"/>
      <c r="C7" s="1"/>
      <c r="D7" s="1"/>
      <c r="E7" s="1"/>
    </row>
    <row r="8" spans="1:5" x14ac:dyDescent="0.25">
      <c r="A8" s="1"/>
      <c r="B8" s="108" t="s">
        <v>123</v>
      </c>
      <c r="C8" s="109"/>
      <c r="D8" s="110"/>
      <c r="E8" s="1"/>
    </row>
    <row r="9" spans="1:5" x14ac:dyDescent="0.25">
      <c r="A9" s="1"/>
      <c r="B9" s="65" t="s">
        <v>88</v>
      </c>
      <c r="C9" s="23">
        <v>47632782.397520639</v>
      </c>
      <c r="D9" s="14" t="s">
        <v>3</v>
      </c>
      <c r="E9" s="1"/>
    </row>
    <row r="10" spans="1:5" x14ac:dyDescent="0.25">
      <c r="A10" s="1"/>
      <c r="B10" s="65" t="s">
        <v>125</v>
      </c>
      <c r="C10" s="23">
        <f>('Fane 3. Omkostninger i ØR2024'!C10+'Fane 3. Omkostninger i ØR2024'!C12+'Fane 3. Omkostninger i ØR2024'!C14)*(1+'Fane 15. Nøgletal'!C9)</f>
        <v>216972.88610815999</v>
      </c>
      <c r="D10" s="14" t="s">
        <v>3</v>
      </c>
      <c r="E10" s="1"/>
    </row>
    <row r="11" spans="1:5" x14ac:dyDescent="0.25">
      <c r="A11" s="1"/>
      <c r="B11" s="65" t="s">
        <v>131</v>
      </c>
      <c r="C11" s="23">
        <f>C9*'Fane 15. Nøgletal'!C21+C10*'Fane 15. Nøgletal'!C21</f>
        <v>956995.105672576</v>
      </c>
      <c r="D11" s="14" t="s">
        <v>3</v>
      </c>
      <c r="E11" s="1"/>
    </row>
    <row r="12" spans="1:5" x14ac:dyDescent="0.25">
      <c r="A12" s="1"/>
      <c r="B12" s="33"/>
      <c r="C12" s="28"/>
      <c r="D12" s="19"/>
      <c r="E12" s="1"/>
    </row>
    <row r="13" spans="1:5" x14ac:dyDescent="0.25">
      <c r="A13" s="1"/>
      <c r="B13" s="1"/>
      <c r="C13" s="1"/>
      <c r="D13" s="1"/>
      <c r="E13" s="1"/>
    </row>
    <row r="14" spans="1:5" x14ac:dyDescent="0.25">
      <c r="A14" s="1"/>
      <c r="B14" s="108" t="s">
        <v>124</v>
      </c>
      <c r="C14" s="109"/>
      <c r="D14" s="110"/>
      <c r="E14" s="1"/>
    </row>
    <row r="15" spans="1:5" x14ac:dyDescent="0.25">
      <c r="A15" s="1"/>
      <c r="B15" s="65" t="s">
        <v>133</v>
      </c>
      <c r="C15" s="23">
        <f>(C9+C10-C11)*(1+'Fane 15. Nøgletal'!C9)</f>
        <v>50681695.200335085</v>
      </c>
      <c r="D15" s="14" t="s">
        <v>3</v>
      </c>
      <c r="E15" s="1"/>
    </row>
    <row r="16" spans="1:5" x14ac:dyDescent="0.25">
      <c r="A16" s="1"/>
      <c r="B16" s="65" t="s">
        <v>184</v>
      </c>
      <c r="C16" s="23">
        <f>('Fane 2.1. Økonomisk ramme 2025'!C10+'Fane 2.1. Økonomisk ramme 2025'!C12+'Fane 2.1. Økonomisk ramme 2025'!C14)*(1+'Fane 15. Nøgletal'!C10)</f>
        <v>1346740.6959213701</v>
      </c>
      <c r="D16" s="14" t="s">
        <v>3</v>
      </c>
      <c r="E16" s="1"/>
    </row>
    <row r="17" spans="1:5" x14ac:dyDescent="0.25">
      <c r="A17" s="1"/>
      <c r="B17" s="65" t="s">
        <v>132</v>
      </c>
      <c r="C17" s="23">
        <f>C15*'Fane 15. Nøgletal'!C21+C16*'Fane 15. Nøgletal'!C21</f>
        <v>1040568.7179251292</v>
      </c>
      <c r="D17" s="14" t="s">
        <v>3</v>
      </c>
      <c r="E17" s="1"/>
    </row>
    <row r="18" spans="1:5" x14ac:dyDescent="0.25">
      <c r="A18" s="1"/>
      <c r="B18" s="33"/>
      <c r="C18" s="28"/>
      <c r="D18" s="19"/>
      <c r="E18" s="1"/>
    </row>
    <row r="19" spans="1:5" x14ac:dyDescent="0.25">
      <c r="A19" s="1"/>
      <c r="B19" s="1"/>
      <c r="C19" s="63"/>
      <c r="D19" s="1"/>
      <c r="E19" s="1"/>
    </row>
    <row r="20" spans="1:5" x14ac:dyDescent="0.25">
      <c r="A20" s="1"/>
      <c r="B20" s="108" t="s">
        <v>145</v>
      </c>
      <c r="C20" s="109"/>
      <c r="D20" s="110"/>
      <c r="E20" s="1"/>
    </row>
    <row r="21" spans="1:5" x14ac:dyDescent="0.25">
      <c r="A21" s="1"/>
      <c r="B21" s="65" t="s">
        <v>189</v>
      </c>
      <c r="C21" s="23">
        <f>(C15+C16-C17)*(1+'Fane 15. Nøgletal'!C10)</f>
        <v>54368362.772254691</v>
      </c>
      <c r="D21" s="14" t="s">
        <v>3</v>
      </c>
      <c r="E21" s="1"/>
    </row>
    <row r="22" spans="1:5" x14ac:dyDescent="0.25">
      <c r="A22" s="1"/>
      <c r="B22" s="65" t="s">
        <v>196</v>
      </c>
      <c r="C22" s="23">
        <f>C21*'Fane 15. Nøgletal'!C21</f>
        <v>1087367.2554450938</v>
      </c>
      <c r="D22" s="14" t="s">
        <v>3</v>
      </c>
      <c r="E22" s="1"/>
    </row>
    <row r="23" spans="1:5" x14ac:dyDescent="0.25">
      <c r="A23" s="1"/>
      <c r="B23" s="33"/>
      <c r="C23" s="28"/>
      <c r="D23" s="19"/>
      <c r="E23" s="1"/>
    </row>
    <row r="24" spans="1:5" x14ac:dyDescent="0.25">
      <c r="A24" s="1"/>
      <c r="B24" s="1"/>
      <c r="C24" s="1"/>
      <c r="D24" s="1"/>
      <c r="E24" s="1"/>
    </row>
    <row r="25" spans="1:5" x14ac:dyDescent="0.25">
      <c r="A25" s="1"/>
      <c r="B25" s="108" t="s">
        <v>187</v>
      </c>
      <c r="C25" s="109"/>
      <c r="D25" s="110"/>
      <c r="E25" s="1"/>
    </row>
    <row r="26" spans="1:5" x14ac:dyDescent="0.25">
      <c r="A26" s="1"/>
      <c r="B26" s="65" t="s">
        <v>190</v>
      </c>
      <c r="C26" s="23">
        <f>(C21-C22)*(1+'Fane 15. Nøgletal'!C10)</f>
        <v>56813525.519574076</v>
      </c>
      <c r="D26" s="14" t="s">
        <v>3</v>
      </c>
      <c r="E26" s="1"/>
    </row>
    <row r="27" spans="1:5" x14ac:dyDescent="0.25">
      <c r="A27" s="1"/>
      <c r="B27" s="65" t="s">
        <v>194</v>
      </c>
      <c r="C27" s="23">
        <f>C26*'Fane 15. Nøgletal'!C21</f>
        <v>1136270.5103914815</v>
      </c>
      <c r="D27" s="14" t="s">
        <v>3</v>
      </c>
      <c r="E27" s="1"/>
    </row>
    <row r="28" spans="1:5" x14ac:dyDescent="0.25">
      <c r="A28" s="1"/>
      <c r="B28" s="33"/>
      <c r="C28" s="28"/>
      <c r="D28" s="19"/>
      <c r="E28" s="1"/>
    </row>
    <row r="29" spans="1:5" x14ac:dyDescent="0.25">
      <c r="A29" s="1"/>
      <c r="B29" s="1"/>
      <c r="C29" s="1"/>
      <c r="D29" s="1"/>
      <c r="E29" s="1"/>
    </row>
    <row r="30" spans="1:5" x14ac:dyDescent="0.25">
      <c r="A30" s="1"/>
      <c r="B30" s="108" t="s">
        <v>188</v>
      </c>
      <c r="C30" s="109"/>
      <c r="D30" s="110"/>
      <c r="E30" s="1"/>
    </row>
    <row r="31" spans="1:5" x14ac:dyDescent="0.25">
      <c r="A31" s="1"/>
      <c r="B31" s="65" t="s">
        <v>191</v>
      </c>
      <c r="C31" s="23">
        <f>(C26-C27)*(1+'Fane 15. Nøgletal'!C10)</f>
        <v>59368657.016291402</v>
      </c>
      <c r="D31" s="14" t="s">
        <v>3</v>
      </c>
      <c r="E31" s="1"/>
    </row>
    <row r="32" spans="1:5" x14ac:dyDescent="0.25">
      <c r="A32" s="1"/>
      <c r="B32" s="65" t="s">
        <v>195</v>
      </c>
      <c r="C32" s="23">
        <f>C31*'Fane 15. Nøgletal'!C21</f>
        <v>1187373.140325828</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pu5eSW+uYJszU5/aGE1FuHJyfYIuplNVRa3H7BBOPJAtAZhawEmKhFCd2dsWkhpzsZqWmWOTRWdrl0WQWH8xwg==" saltValue="cA5rZ77R+9sS9fQ+LY7N/w=="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69"/>
      <c r="C1" s="69"/>
      <c r="D1" s="69"/>
      <c r="E1" s="1"/>
    </row>
    <row r="2" spans="1:5" ht="15" customHeight="1" x14ac:dyDescent="0.35">
      <c r="A2" s="1"/>
      <c r="B2" s="69"/>
      <c r="C2" s="69"/>
      <c r="D2" s="69"/>
      <c r="E2" s="1"/>
    </row>
    <row r="3" spans="1:5" ht="15" customHeight="1" x14ac:dyDescent="0.25">
      <c r="A3" s="1"/>
      <c r="B3" s="111" t="s">
        <v>57</v>
      </c>
      <c r="C3" s="111"/>
      <c r="D3" s="111"/>
      <c r="E3" s="1"/>
    </row>
    <row r="4" spans="1:5" ht="15" customHeight="1" x14ac:dyDescent="0.25">
      <c r="A4" s="1"/>
      <c r="B4" s="111"/>
      <c r="C4" s="111"/>
      <c r="D4" s="111"/>
      <c r="E4" s="1"/>
    </row>
    <row r="5" spans="1:5" ht="15" customHeight="1" x14ac:dyDescent="0.25">
      <c r="A5" s="1"/>
      <c r="B5" s="111"/>
      <c r="C5" s="111"/>
      <c r="D5" s="111"/>
      <c r="E5" s="1"/>
    </row>
    <row r="6" spans="1:5" ht="15" customHeight="1" x14ac:dyDescent="0.35">
      <c r="A6" s="1"/>
      <c r="B6" s="69"/>
      <c r="C6" s="69"/>
      <c r="D6" s="69"/>
      <c r="E6" s="1"/>
    </row>
    <row r="7" spans="1:5" x14ac:dyDescent="0.25">
      <c r="A7" s="1"/>
      <c r="B7" s="1"/>
      <c r="C7" s="1"/>
      <c r="D7" s="1"/>
      <c r="E7" s="1"/>
    </row>
    <row r="8" spans="1:5" x14ac:dyDescent="0.25">
      <c r="A8" s="1"/>
      <c r="B8" s="108" t="s">
        <v>147</v>
      </c>
      <c r="C8" s="109"/>
      <c r="D8" s="110"/>
      <c r="E8" s="1"/>
    </row>
    <row r="9" spans="1:5" x14ac:dyDescent="0.25">
      <c r="A9" s="1"/>
      <c r="B9" s="65" t="s">
        <v>134</v>
      </c>
      <c r="C9" s="23">
        <v>67473274.739288181</v>
      </c>
      <c r="D9" s="14" t="s">
        <v>3</v>
      </c>
      <c r="E9" s="1"/>
    </row>
    <row r="10" spans="1:5" x14ac:dyDescent="0.25">
      <c r="A10" s="1"/>
      <c r="B10" s="65" t="s">
        <v>126</v>
      </c>
      <c r="C10" s="23">
        <f>('Fane 3. Omkostninger i ØR2024'!C11+'Fane 3. Omkostninger i ØR2024'!C13+'Fane 3. Omkostninger i ØR2024'!C15)*(1+'Fane 15. Nøgletal'!C9)</f>
        <v>1370760.41079488</v>
      </c>
      <c r="D10" s="14" t="s">
        <v>3</v>
      </c>
      <c r="E10" s="1"/>
    </row>
    <row r="11" spans="1:5" x14ac:dyDescent="0.25">
      <c r="A11" s="1"/>
      <c r="B11" s="65" t="s">
        <v>135</v>
      </c>
      <c r="C11" s="82">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08" t="s">
        <v>146</v>
      </c>
      <c r="C14" s="109"/>
      <c r="D14" s="110"/>
      <c r="E14" s="1"/>
    </row>
    <row r="15" spans="1:5" x14ac:dyDescent="0.25">
      <c r="A15" s="1"/>
      <c r="B15" s="65" t="s">
        <v>136</v>
      </c>
      <c r="C15" s="23">
        <f>(C9+C10-C11)*(1+'Fane 15. Nøgletal'!C9)</f>
        <v>74406633.190209776</v>
      </c>
      <c r="D15" s="14" t="s">
        <v>3</v>
      </c>
      <c r="E15" s="1"/>
    </row>
    <row r="16" spans="1:5" x14ac:dyDescent="0.25">
      <c r="A16" s="1"/>
      <c r="B16" s="65" t="s">
        <v>185</v>
      </c>
      <c r="C16" s="23">
        <f>('Fane 2.1. Økonomisk ramme 2025'!C11+'Fane 2.1. Økonomisk ramme 2025'!C13+'Fane 2.1. Økonomisk ramme 2025'!C15)*(1+'Fane 15. Nøgletal'!C10)</f>
        <v>959357.16837285005</v>
      </c>
      <c r="D16" s="14" t="s">
        <v>3</v>
      </c>
      <c r="E16" s="1"/>
    </row>
    <row r="17" spans="1:5" x14ac:dyDescent="0.25">
      <c r="A17" s="1"/>
      <c r="B17" s="65" t="s">
        <v>137</v>
      </c>
      <c r="C17" s="82">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08" t="s">
        <v>82</v>
      </c>
      <c r="C20" s="109"/>
      <c r="D20" s="110"/>
      <c r="E20" s="1"/>
    </row>
    <row r="21" spans="1:5" x14ac:dyDescent="0.25">
      <c r="A21" s="1"/>
      <c r="B21" s="65" t="s">
        <v>192</v>
      </c>
      <c r="C21" s="23">
        <f>(C15+C16-C17)*(1+'Fane 15. Nøgletal'!C10)</f>
        <v>80362755.519356668</v>
      </c>
      <c r="D21" s="14" t="s">
        <v>3</v>
      </c>
      <c r="E21" s="1"/>
    </row>
    <row r="22" spans="1:5" x14ac:dyDescent="0.25">
      <c r="A22" s="1"/>
      <c r="B22" s="65" t="s">
        <v>197</v>
      </c>
      <c r="C22" s="82">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08" t="s">
        <v>138</v>
      </c>
      <c r="C25" s="109"/>
      <c r="D25" s="110"/>
      <c r="E25" s="1"/>
    </row>
    <row r="26" spans="1:5" x14ac:dyDescent="0.25">
      <c r="A26" s="1"/>
      <c r="B26" s="65" t="s">
        <v>193</v>
      </c>
      <c r="C26" s="23">
        <f>(C21-C22)*(1+'Fane 15. Nøgletal'!C10)</f>
        <v>85690806.210290015</v>
      </c>
      <c r="D26" s="14" t="s">
        <v>3</v>
      </c>
      <c r="E26" s="1"/>
    </row>
    <row r="27" spans="1:5" x14ac:dyDescent="0.25">
      <c r="A27" s="1"/>
      <c r="B27" s="65" t="s">
        <v>198</v>
      </c>
      <c r="C27" s="82">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08" t="s">
        <v>163</v>
      </c>
      <c r="C30" s="109"/>
      <c r="D30" s="110"/>
      <c r="E30" s="1"/>
    </row>
    <row r="31" spans="1:5" x14ac:dyDescent="0.25">
      <c r="A31" s="1"/>
      <c r="B31" s="65" t="s">
        <v>200</v>
      </c>
      <c r="C31" s="23">
        <f>(C26-C27)*(1+'Fane 15. Nøgletal'!C10)</f>
        <v>91372106.662032247</v>
      </c>
      <c r="D31" s="14" t="s">
        <v>3</v>
      </c>
      <c r="E31" s="1"/>
    </row>
    <row r="32" spans="1:5" x14ac:dyDescent="0.25">
      <c r="A32" s="1"/>
      <c r="B32" s="65" t="s">
        <v>199</v>
      </c>
      <c r="C32" s="82">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BY4R0oY9IP8fskCabHPuW2YzKK3LW1knt8NqVX/nYaj05DWlwWi7XNbFAJRSKqEFyuYnpFOUBDtAoDSVIOZQvQ==" saltValue="PI0pYiCzPBlJ0XjO84SqIw=="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4" t="s">
        <v>44</v>
      </c>
      <c r="C3" s="104"/>
      <c r="D3" s="1"/>
    </row>
    <row r="4" spans="1:4" ht="15" customHeight="1" x14ac:dyDescent="0.25">
      <c r="A4" s="1"/>
      <c r="B4" s="104"/>
      <c r="C4" s="10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08" t="s">
        <v>10</v>
      </c>
      <c r="C8" s="110"/>
      <c r="D8" s="1"/>
    </row>
    <row r="9" spans="1:4" x14ac:dyDescent="0.25">
      <c r="A9" s="1"/>
      <c r="B9" s="65" t="s">
        <v>164</v>
      </c>
      <c r="C9" s="22">
        <v>3.1417954027864103E-3</v>
      </c>
      <c r="D9" s="1"/>
    </row>
    <row r="10" spans="1:4" x14ac:dyDescent="0.25">
      <c r="A10" s="1"/>
      <c r="B10" s="33"/>
      <c r="C10" s="19"/>
      <c r="D10" s="1"/>
    </row>
    <row r="11" spans="1:4" x14ac:dyDescent="0.25">
      <c r="A11" s="1"/>
      <c r="B11" s="112" t="s">
        <v>220</v>
      </c>
      <c r="C11" s="113"/>
      <c r="D11" s="1"/>
    </row>
    <row r="12" spans="1:4" x14ac:dyDescent="0.25">
      <c r="A12" s="1"/>
      <c r="B12" s="114"/>
      <c r="C12" s="115"/>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Cvi05DuorZIRD4AsplHfA4I1H/sjTALGnuJhXbH/qlGPbljZo31dMjR9lPIimkzgA7xSCeWy7htfc7Avmi5/rQ==" saltValue="NkbxyC37QRE25cFml2aTvg=="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58</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08" t="s">
        <v>165</v>
      </c>
      <c r="C8" s="109"/>
      <c r="D8" s="110"/>
      <c r="E8" s="1"/>
    </row>
    <row r="9" spans="1:5" ht="15" customHeight="1" x14ac:dyDescent="0.25">
      <c r="A9" s="1"/>
      <c r="B9" s="27" t="s">
        <v>28</v>
      </c>
      <c r="C9" s="67" t="s">
        <v>166</v>
      </c>
      <c r="D9" s="11"/>
      <c r="E9" s="1"/>
    </row>
    <row r="10" spans="1:5" ht="15" customHeight="1" x14ac:dyDescent="0.25">
      <c r="A10" s="1"/>
      <c r="B10" s="71" t="s">
        <v>228</v>
      </c>
      <c r="C10" s="72">
        <v>3715183</v>
      </c>
      <c r="D10" s="14" t="s">
        <v>3</v>
      </c>
      <c r="E10" s="1"/>
    </row>
    <row r="11" spans="1:5" ht="15" customHeight="1" x14ac:dyDescent="0.25">
      <c r="A11" s="1"/>
      <c r="B11" s="71" t="s">
        <v>229</v>
      </c>
      <c r="C11" s="72">
        <v>99458</v>
      </c>
      <c r="D11" s="14" t="s">
        <v>3</v>
      </c>
      <c r="E11" s="1"/>
    </row>
    <row r="12" spans="1:5" x14ac:dyDescent="0.25">
      <c r="A12" s="1"/>
      <c r="B12" s="71" t="s">
        <v>230</v>
      </c>
      <c r="C12" s="72">
        <v>27470</v>
      </c>
      <c r="D12" s="14" t="s">
        <v>3</v>
      </c>
      <c r="E12" s="1"/>
    </row>
    <row r="13" spans="1:5" x14ac:dyDescent="0.25">
      <c r="A13" s="1"/>
      <c r="B13" s="71" t="s">
        <v>231</v>
      </c>
      <c r="C13" s="72">
        <v>20633</v>
      </c>
      <c r="D13" s="14" t="s">
        <v>3</v>
      </c>
      <c r="E13" s="1"/>
    </row>
    <row r="14" spans="1:5" x14ac:dyDescent="0.25">
      <c r="A14" s="1"/>
      <c r="B14" s="71" t="s">
        <v>232</v>
      </c>
      <c r="C14" s="72">
        <v>186306</v>
      </c>
      <c r="D14" s="14" t="s">
        <v>3</v>
      </c>
      <c r="E14" s="1"/>
    </row>
    <row r="15" spans="1:5" x14ac:dyDescent="0.25">
      <c r="A15" s="1"/>
      <c r="B15" s="71"/>
      <c r="C15" s="72"/>
      <c r="D15" s="14" t="s">
        <v>3</v>
      </c>
      <c r="E15" s="1"/>
    </row>
    <row r="16" spans="1:5" x14ac:dyDescent="0.25">
      <c r="A16" s="1"/>
      <c r="B16" s="71"/>
      <c r="C16" s="72"/>
      <c r="D16" s="14" t="s">
        <v>3</v>
      </c>
      <c r="E16" s="1"/>
    </row>
    <row r="17" spans="1:5" x14ac:dyDescent="0.25">
      <c r="A17" s="1"/>
      <c r="B17" s="71"/>
      <c r="C17" s="72"/>
      <c r="D17" s="14" t="s">
        <v>3</v>
      </c>
      <c r="E17" s="1"/>
    </row>
    <row r="18" spans="1:5" x14ac:dyDescent="0.25">
      <c r="A18" s="1"/>
      <c r="B18" s="71"/>
      <c r="C18" s="72"/>
      <c r="D18" s="14" t="s">
        <v>3</v>
      </c>
      <c r="E18" s="1"/>
    </row>
    <row r="19" spans="1:5" x14ac:dyDescent="0.25">
      <c r="A19" s="1"/>
      <c r="B19" s="71"/>
      <c r="C19" s="72"/>
      <c r="D19" s="14" t="s">
        <v>3</v>
      </c>
      <c r="E19" s="1"/>
    </row>
    <row r="20" spans="1:5" x14ac:dyDescent="0.25">
      <c r="A20" s="1"/>
      <c r="B20" s="33" t="s">
        <v>167</v>
      </c>
      <c r="C20" s="12">
        <f>SUM(C10:C19)</f>
        <v>4049050</v>
      </c>
      <c r="D20" s="13" t="s">
        <v>3</v>
      </c>
      <c r="E20" s="1"/>
    </row>
    <row r="21" spans="1:5" x14ac:dyDescent="0.25">
      <c r="A21" s="1"/>
      <c r="B21" s="33" t="s">
        <v>168</v>
      </c>
      <c r="C21" s="12">
        <f>C20*(1+'Fane 15. Nøgletal'!C10)^2</f>
        <v>4603752.3985944996</v>
      </c>
      <c r="D21" s="13" t="s">
        <v>3</v>
      </c>
      <c r="E21" s="1"/>
    </row>
    <row r="22" spans="1:5" x14ac:dyDescent="0.25">
      <c r="A22" s="1"/>
      <c r="B22" s="16"/>
      <c r="C22" s="15"/>
      <c r="D22" s="15"/>
      <c r="E22" s="1"/>
    </row>
    <row r="23" spans="1:5" x14ac:dyDescent="0.25">
      <c r="A23" s="1"/>
      <c r="B23" s="16"/>
      <c r="C23" s="15"/>
      <c r="D23" s="15"/>
      <c r="E23" s="1"/>
    </row>
    <row r="24" spans="1:5" x14ac:dyDescent="0.25">
      <c r="A24" s="1"/>
      <c r="B24" s="108" t="s">
        <v>60</v>
      </c>
      <c r="C24" s="109"/>
      <c r="D24" s="110"/>
      <c r="E24" s="1"/>
    </row>
    <row r="25" spans="1:5" x14ac:dyDescent="0.25">
      <c r="A25" s="1"/>
      <c r="B25" s="37" t="s">
        <v>72</v>
      </c>
      <c r="C25" s="9">
        <v>0</v>
      </c>
      <c r="D25" s="14" t="s">
        <v>3</v>
      </c>
      <c r="E25" s="1"/>
    </row>
    <row r="26" spans="1:5" x14ac:dyDescent="0.25">
      <c r="A26" s="1"/>
      <c r="B26" s="37" t="s">
        <v>83</v>
      </c>
      <c r="C26" s="9">
        <v>0</v>
      </c>
      <c r="D26" s="14" t="s">
        <v>3</v>
      </c>
      <c r="E26" s="1"/>
    </row>
    <row r="27" spans="1:5" x14ac:dyDescent="0.25">
      <c r="A27" s="1"/>
      <c r="B27" s="37" t="s">
        <v>148</v>
      </c>
      <c r="C27" s="9">
        <v>0</v>
      </c>
      <c r="D27" s="14" t="s">
        <v>3</v>
      </c>
      <c r="E27" s="1"/>
    </row>
    <row r="28" spans="1:5" x14ac:dyDescent="0.25">
      <c r="A28" s="1"/>
      <c r="B28" s="34" t="s">
        <v>169</v>
      </c>
      <c r="C28" s="9">
        <v>0</v>
      </c>
      <c r="D28" s="36" t="s">
        <v>3</v>
      </c>
      <c r="E28" s="1"/>
    </row>
    <row r="29" spans="1:5" x14ac:dyDescent="0.25">
      <c r="A29" s="1"/>
      <c r="B29" s="108"/>
      <c r="C29" s="109"/>
      <c r="D29" s="110"/>
      <c r="E29" s="1"/>
    </row>
    <row r="30" spans="1:5" x14ac:dyDescent="0.25">
      <c r="A30" s="1"/>
      <c r="B30" s="1"/>
      <c r="C30" s="1"/>
      <c r="D30" s="1"/>
      <c r="E30" s="1"/>
    </row>
    <row r="31" spans="1:5" x14ac:dyDescent="0.25">
      <c r="A31" s="1"/>
      <c r="B31" s="1"/>
      <c r="C31" s="1"/>
      <c r="D31" s="1"/>
      <c r="E31" s="1"/>
    </row>
    <row r="32" spans="1:5" x14ac:dyDescent="0.25">
      <c r="A32" s="1"/>
      <c r="B32" s="108" t="s">
        <v>47</v>
      </c>
      <c r="C32" s="109"/>
      <c r="D32" s="110"/>
      <c r="E32" s="1"/>
    </row>
    <row r="33" spans="1:5" x14ac:dyDescent="0.25">
      <c r="A33" s="1"/>
      <c r="B33" s="37" t="s">
        <v>72</v>
      </c>
      <c r="C33" s="9">
        <v>0</v>
      </c>
      <c r="D33" s="14" t="s">
        <v>3</v>
      </c>
      <c r="E33" s="1"/>
    </row>
    <row r="34" spans="1:5" x14ac:dyDescent="0.25">
      <c r="A34" s="1"/>
      <c r="B34" s="37" t="s">
        <v>83</v>
      </c>
      <c r="C34" s="9">
        <v>0</v>
      </c>
      <c r="D34" s="14" t="s">
        <v>3</v>
      </c>
      <c r="E34" s="1"/>
    </row>
    <row r="35" spans="1:5" x14ac:dyDescent="0.25">
      <c r="A35" s="1"/>
      <c r="B35" s="37" t="s">
        <v>148</v>
      </c>
      <c r="C35" s="9">
        <v>0</v>
      </c>
      <c r="D35" s="14" t="s">
        <v>3</v>
      </c>
      <c r="E35" s="1"/>
    </row>
    <row r="36" spans="1:5" x14ac:dyDescent="0.25">
      <c r="A36" s="1"/>
      <c r="B36" s="34" t="s">
        <v>169</v>
      </c>
      <c r="C36" s="9">
        <v>0</v>
      </c>
      <c r="D36" s="36" t="s">
        <v>3</v>
      </c>
      <c r="E36" s="1"/>
    </row>
    <row r="37" spans="1:5" x14ac:dyDescent="0.25">
      <c r="A37" s="1"/>
      <c r="B37" s="108"/>
      <c r="C37" s="109"/>
      <c r="D37" s="110"/>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8R7MAPAxCrtOPDLA6jP/ZiV0ow3rb5GgwfJa3VSEzjp0LVjTSUuYQNmjKHPn6C6ugm1MGSgK44q1QLz59REhxA==" saltValue="QyWgFTUnk461qwk1xq897w=="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201</v>
      </c>
      <c r="C3" s="107"/>
      <c r="D3" s="107"/>
      <c r="E3" s="1"/>
    </row>
    <row r="4" spans="1:5" ht="15" customHeight="1" x14ac:dyDescent="0.25">
      <c r="A4" s="1"/>
      <c r="B4" s="107"/>
      <c r="C4" s="107"/>
      <c r="D4" s="107"/>
      <c r="E4" s="1"/>
    </row>
    <row r="5" spans="1:5" ht="15" customHeight="1" x14ac:dyDescent="0.25">
      <c r="A5" s="1"/>
      <c r="B5" s="107"/>
      <c r="C5" s="107"/>
      <c r="D5" s="107"/>
      <c r="E5" s="1"/>
    </row>
    <row r="6" spans="1:5" ht="15" customHeight="1" x14ac:dyDescent="0.25">
      <c r="A6" s="1"/>
      <c r="B6" s="74"/>
      <c r="C6" s="74"/>
      <c r="D6" s="74"/>
      <c r="E6" s="1"/>
    </row>
    <row r="7" spans="1:5" x14ac:dyDescent="0.25">
      <c r="A7" s="1"/>
      <c r="B7" s="1"/>
      <c r="C7" s="1"/>
      <c r="D7" s="1"/>
      <c r="E7" s="1"/>
    </row>
    <row r="8" spans="1:5" x14ac:dyDescent="0.25">
      <c r="A8" s="1"/>
      <c r="B8" s="108" t="s">
        <v>77</v>
      </c>
      <c r="C8" s="109"/>
      <c r="D8" s="110"/>
      <c r="E8" s="1"/>
    </row>
    <row r="9" spans="1:5" x14ac:dyDescent="0.25">
      <c r="A9" s="1"/>
      <c r="B9" s="65" t="s">
        <v>204</v>
      </c>
      <c r="C9" s="9">
        <v>-3012972.089596197</v>
      </c>
      <c r="D9" s="14" t="s">
        <v>3</v>
      </c>
      <c r="E9" s="1"/>
    </row>
    <row r="10" spans="1:5" x14ac:dyDescent="0.25">
      <c r="A10" s="1"/>
      <c r="B10" s="33"/>
      <c r="C10" s="28"/>
      <c r="D10" s="19"/>
      <c r="E10" s="1"/>
    </row>
    <row r="11" spans="1:5" ht="53.25" customHeight="1" x14ac:dyDescent="0.25">
      <c r="A11" s="1"/>
      <c r="B11" s="119" t="s">
        <v>212</v>
      </c>
      <c r="C11" s="120"/>
      <c r="D11" s="121"/>
      <c r="E11" s="1"/>
    </row>
    <row r="12" spans="1:5" x14ac:dyDescent="0.25">
      <c r="A12" s="1"/>
      <c r="B12" s="1"/>
      <c r="C12" s="1"/>
      <c r="D12" s="1"/>
      <c r="E12" s="1"/>
    </row>
    <row r="13" spans="1:5" x14ac:dyDescent="0.25">
      <c r="A13" s="1"/>
      <c r="B13" s="108" t="s">
        <v>78</v>
      </c>
      <c r="C13" s="109"/>
      <c r="D13" s="110"/>
      <c r="E13" s="1"/>
    </row>
    <row r="14" spans="1:5" x14ac:dyDescent="0.25">
      <c r="A14" s="1"/>
      <c r="B14" s="65" t="s">
        <v>202</v>
      </c>
      <c r="C14" s="9">
        <v>-572114.46348111331</v>
      </c>
      <c r="D14" s="14" t="s">
        <v>3</v>
      </c>
      <c r="E14" s="1"/>
    </row>
    <row r="15" spans="1:5" x14ac:dyDescent="0.25">
      <c r="A15" s="1"/>
      <c r="B15" s="65" t="s">
        <v>203</v>
      </c>
      <c r="C15" s="9">
        <v>-572114.46348111331</v>
      </c>
      <c r="D15" s="14" t="s">
        <v>3</v>
      </c>
      <c r="E15" s="1"/>
    </row>
    <row r="16" spans="1:5" x14ac:dyDescent="0.25">
      <c r="A16" s="1"/>
      <c r="B16" s="33"/>
      <c r="C16" s="28"/>
      <c r="D16" s="19"/>
      <c r="E16" s="1"/>
    </row>
    <row r="17" spans="1:5" ht="29.25" customHeight="1" x14ac:dyDescent="0.25">
      <c r="A17" s="1"/>
      <c r="B17" s="119" t="s">
        <v>121</v>
      </c>
      <c r="C17" s="120"/>
      <c r="D17" s="121"/>
      <c r="E17" s="1"/>
    </row>
    <row r="18" spans="1:5" x14ac:dyDescent="0.25">
      <c r="A18" s="1"/>
      <c r="B18" s="1"/>
      <c r="C18" s="1"/>
      <c r="D18" s="1"/>
      <c r="E18" s="1"/>
    </row>
    <row r="19" spans="1:5" x14ac:dyDescent="0.25">
      <c r="A19" s="1"/>
      <c r="B19" s="75" t="s">
        <v>205</v>
      </c>
      <c r="C19" s="76"/>
      <c r="D19" s="77"/>
      <c r="E19" s="1"/>
    </row>
    <row r="20" spans="1:5" x14ac:dyDescent="0.25">
      <c r="A20" s="1"/>
      <c r="B20" s="65" t="s">
        <v>206</v>
      </c>
      <c r="C20" s="9">
        <v>99117374.271779284</v>
      </c>
      <c r="D20" s="14" t="s">
        <v>3</v>
      </c>
      <c r="E20" s="1"/>
    </row>
    <row r="21" spans="1:5" x14ac:dyDescent="0.25">
      <c r="A21" s="1"/>
      <c r="B21" s="65" t="s">
        <v>207</v>
      </c>
      <c r="C21" s="9">
        <v>106803313</v>
      </c>
      <c r="D21" s="14" t="s">
        <v>3</v>
      </c>
      <c r="E21" s="1"/>
    </row>
    <row r="22" spans="1:5" x14ac:dyDescent="0.25">
      <c r="A22" s="1"/>
      <c r="B22" s="65" t="s">
        <v>29</v>
      </c>
      <c r="C22" s="9">
        <v>-115000</v>
      </c>
      <c r="D22" s="14" t="s">
        <v>3</v>
      </c>
      <c r="E22" s="1"/>
    </row>
    <row r="23" spans="1:5" x14ac:dyDescent="0.25">
      <c r="A23" s="1"/>
      <c r="B23" s="81" t="s">
        <v>208</v>
      </c>
      <c r="C23" s="57">
        <f>C20-C21-C22</f>
        <v>-7570938.7282207161</v>
      </c>
      <c r="D23" s="17" t="s">
        <v>3</v>
      </c>
      <c r="E23" s="1"/>
    </row>
    <row r="24" spans="1:5" x14ac:dyDescent="0.25">
      <c r="A24" s="1"/>
      <c r="B24" s="33"/>
      <c r="C24" s="28"/>
      <c r="D24" s="19"/>
      <c r="E24" s="1"/>
    </row>
    <row r="25" spans="1:5" x14ac:dyDescent="0.25">
      <c r="A25" s="1"/>
      <c r="B25" s="1"/>
      <c r="C25" s="1"/>
      <c r="D25" s="1"/>
      <c r="E25" s="1"/>
    </row>
    <row r="26" spans="1:5" x14ac:dyDescent="0.25">
      <c r="A26" s="1"/>
      <c r="B26" s="108" t="s">
        <v>209</v>
      </c>
      <c r="C26" s="109"/>
      <c r="D26" s="110"/>
      <c r="E26" s="1"/>
    </row>
    <row r="27" spans="1:5" x14ac:dyDescent="0.25">
      <c r="A27" s="1"/>
      <c r="B27" s="81" t="s">
        <v>210</v>
      </c>
      <c r="C27" s="57">
        <f>IF(AND(C15&lt;0,C23&gt;0,ABS(SUM(C14:C15))&lt;C23),ABS(C14),IF(AND(C15&lt;0,C23&gt;0,ABS(SUM(C14:C15))&gt;C23),SUM(C14,C23),C15))</f>
        <v>-572114.46348111331</v>
      </c>
      <c r="D27" s="17" t="s">
        <v>3</v>
      </c>
      <c r="E27" s="1"/>
    </row>
    <row r="28" spans="1:5" x14ac:dyDescent="0.25">
      <c r="A28" s="1"/>
      <c r="B28" s="108"/>
      <c r="C28" s="109"/>
      <c r="D28" s="110"/>
      <c r="E28" s="1"/>
    </row>
    <row r="29" spans="1:5" x14ac:dyDescent="0.25">
      <c r="A29" s="1"/>
      <c r="B29" s="1"/>
      <c r="C29" s="1"/>
      <c r="D29" s="1"/>
      <c r="E29" s="1"/>
    </row>
    <row r="30" spans="1:5" x14ac:dyDescent="0.25">
      <c r="A30" s="1"/>
      <c r="B30" s="108" t="s">
        <v>211</v>
      </c>
      <c r="C30" s="109"/>
      <c r="D30" s="110"/>
      <c r="E30" s="1"/>
    </row>
    <row r="31" spans="1:5" x14ac:dyDescent="0.25">
      <c r="A31" s="1"/>
      <c r="B31" s="66" t="s">
        <v>69</v>
      </c>
      <c r="C31" s="58">
        <f>IF(AND(C9&gt;0,(C9+C23)&gt;0),0,IF(AND(C9&gt;0,(C9+C23)&lt;0),(C9+C23),IF(AND(C9&lt;0,C23&lt;0),C23,0)))</f>
        <v>-7570938.7282207161</v>
      </c>
      <c r="D31" s="14" t="s">
        <v>3</v>
      </c>
      <c r="E31" s="1"/>
    </row>
    <row r="32" spans="1:5" x14ac:dyDescent="0.25">
      <c r="A32" s="1"/>
      <c r="B32" s="66" t="s">
        <v>49</v>
      </c>
      <c r="C32" s="9">
        <v>2</v>
      </c>
      <c r="D32" s="14" t="s">
        <v>20</v>
      </c>
      <c r="E32" s="1"/>
    </row>
    <row r="33" spans="1:5" x14ac:dyDescent="0.25">
      <c r="A33" s="1"/>
      <c r="B33" s="67" t="s">
        <v>70</v>
      </c>
      <c r="C33" s="57">
        <f>C31/C32</f>
        <v>-3785469.3641103581</v>
      </c>
      <c r="D33" s="17" t="s">
        <v>3</v>
      </c>
      <c r="E33" s="1"/>
    </row>
    <row r="34" spans="1:5" x14ac:dyDescent="0.25">
      <c r="A34" s="1"/>
      <c r="B34" s="116"/>
      <c r="C34" s="117"/>
      <c r="D34" s="118"/>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nNt/iSugW75DYdBNcFBzN63mf6oXjwkTcPjg2G/bB9CxZ2O+AQDd3/IZsl7dY7V42pAs3o1hmKOIc0erSyNpAw==" saltValue="1o4OnUETeOpwK5pdxvAHGw=="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07" t="s">
        <v>101</v>
      </c>
      <c r="C3" s="107"/>
      <c r="D3" s="107"/>
      <c r="E3" s="1"/>
    </row>
    <row r="4" spans="1:5" ht="15" customHeight="1" x14ac:dyDescent="0.25">
      <c r="A4" s="1"/>
      <c r="B4" s="107"/>
      <c r="C4" s="107"/>
      <c r="D4" s="107"/>
      <c r="E4" s="1"/>
    </row>
    <row r="5" spans="1:5" x14ac:dyDescent="0.25">
      <c r="A5" s="1"/>
      <c r="B5" s="107"/>
      <c r="C5" s="107"/>
      <c r="D5" s="107"/>
      <c r="E5" s="1"/>
    </row>
    <row r="6" spans="1:5" x14ac:dyDescent="0.25">
      <c r="A6" s="1"/>
      <c r="B6" s="1"/>
      <c r="C6" s="1"/>
      <c r="D6" s="1"/>
      <c r="E6" s="1"/>
    </row>
    <row r="7" spans="1:5" x14ac:dyDescent="0.25">
      <c r="A7" s="1"/>
      <c r="B7" s="1"/>
      <c r="C7" s="1"/>
      <c r="D7" s="1"/>
      <c r="E7" s="1"/>
    </row>
    <row r="8" spans="1:5" x14ac:dyDescent="0.25">
      <c r="A8" s="1"/>
      <c r="B8" s="108" t="s">
        <v>120</v>
      </c>
      <c r="C8" s="109"/>
      <c r="D8" s="110"/>
      <c r="E8" s="1"/>
    </row>
    <row r="9" spans="1:5" ht="15" customHeight="1" x14ac:dyDescent="0.25">
      <c r="A9" s="1"/>
      <c r="B9" s="122" t="s">
        <v>102</v>
      </c>
      <c r="C9" s="123"/>
      <c r="D9" s="124"/>
      <c r="E9" s="1"/>
    </row>
    <row r="10" spans="1:5" x14ac:dyDescent="0.25">
      <c r="A10" s="1"/>
      <c r="B10" s="68" t="s">
        <v>103</v>
      </c>
      <c r="C10" s="9">
        <v>0</v>
      </c>
      <c r="D10" s="9" t="s">
        <v>3</v>
      </c>
      <c r="E10" s="1"/>
    </row>
    <row r="11" spans="1:5" x14ac:dyDescent="0.25">
      <c r="A11" s="1"/>
      <c r="B11" s="68" t="s">
        <v>104</v>
      </c>
      <c r="C11" s="9">
        <v>0</v>
      </c>
      <c r="D11" s="9" t="s">
        <v>3</v>
      </c>
      <c r="E11" s="1"/>
    </row>
    <row r="12" spans="1:5" x14ac:dyDescent="0.25">
      <c r="A12" s="1"/>
      <c r="B12" s="68" t="s">
        <v>105</v>
      </c>
      <c r="C12" s="9">
        <v>0</v>
      </c>
      <c r="D12" s="9" t="s">
        <v>3</v>
      </c>
      <c r="E12" s="1"/>
    </row>
    <row r="13" spans="1:5" x14ac:dyDescent="0.25">
      <c r="A13" s="1"/>
      <c r="B13" s="68" t="s">
        <v>106</v>
      </c>
      <c r="C13" s="9">
        <v>0</v>
      </c>
      <c r="D13" s="9" t="s">
        <v>3</v>
      </c>
      <c r="E13" s="1"/>
    </row>
    <row r="14" spans="1:5" x14ac:dyDescent="0.25">
      <c r="A14" s="1"/>
      <c r="B14" s="68" t="s">
        <v>107</v>
      </c>
      <c r="C14" s="9">
        <v>0</v>
      </c>
      <c r="D14" s="9" t="s">
        <v>3</v>
      </c>
      <c r="E14" s="1"/>
    </row>
    <row r="15" spans="1:5" x14ac:dyDescent="0.25">
      <c r="A15" s="1"/>
      <c r="B15" s="68" t="s">
        <v>108</v>
      </c>
      <c r="C15" s="9">
        <v>0</v>
      </c>
      <c r="D15" s="9" t="s">
        <v>3</v>
      </c>
      <c r="E15" s="1"/>
    </row>
    <row r="16" spans="1:5" x14ac:dyDescent="0.25">
      <c r="A16" s="1"/>
      <c r="B16" s="68" t="s">
        <v>109</v>
      </c>
      <c r="C16" s="9">
        <v>0</v>
      </c>
      <c r="D16" s="9" t="s">
        <v>3</v>
      </c>
      <c r="E16" s="1"/>
    </row>
    <row r="17" spans="1:5" x14ac:dyDescent="0.25">
      <c r="A17" s="1"/>
      <c r="B17" s="68" t="s">
        <v>110</v>
      </c>
      <c r="C17" s="9">
        <v>0</v>
      </c>
      <c r="D17" s="9" t="s">
        <v>3</v>
      </c>
      <c r="E17" s="1"/>
    </row>
    <row r="18" spans="1:5" x14ac:dyDescent="0.25">
      <c r="A18" s="1"/>
      <c r="B18" s="75" t="s">
        <v>111</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7BGXe70zM6bArvqLU0kF8ViLyCS23CroMgH1VZyk+7H59WNX7wJas6ifzOMStcLxsjQh9UZjJ0cFc7HkPY5dew==" saltValue="ARv0UT/ND/RvgXRWvG/EbA=="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170</v>
      </c>
      <c r="C3" s="107"/>
      <c r="D3" s="107"/>
      <c r="E3" s="1"/>
    </row>
    <row r="4" spans="1:5" ht="15" customHeight="1" x14ac:dyDescent="0.25">
      <c r="A4" s="1"/>
      <c r="B4" s="107"/>
      <c r="C4" s="107"/>
      <c r="D4" s="107"/>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08" t="s">
        <v>171</v>
      </c>
      <c r="C8" s="109"/>
      <c r="D8" s="110"/>
      <c r="E8" s="1"/>
    </row>
    <row r="9" spans="1:5" ht="26.25" x14ac:dyDescent="0.25">
      <c r="A9" s="1"/>
      <c r="B9" s="78" t="s">
        <v>217</v>
      </c>
      <c r="C9" s="7">
        <v>0</v>
      </c>
      <c r="D9" s="8" t="s">
        <v>3</v>
      </c>
      <c r="E9" s="1"/>
    </row>
    <row r="10" spans="1:5" ht="14.25" customHeight="1" x14ac:dyDescent="0.25">
      <c r="A10" s="1"/>
      <c r="B10" s="65" t="s">
        <v>172</v>
      </c>
      <c r="C10" s="7">
        <v>0</v>
      </c>
      <c r="D10" s="8" t="s">
        <v>3</v>
      </c>
      <c r="E10" s="1"/>
    </row>
    <row r="11" spans="1:5" ht="14.25" customHeight="1" x14ac:dyDescent="0.25">
      <c r="A11" s="1"/>
      <c r="B11" s="81" t="s">
        <v>48</v>
      </c>
      <c r="C11" s="10">
        <f>C10-C9</f>
        <v>0</v>
      </c>
      <c r="D11" s="11" t="s">
        <v>3</v>
      </c>
      <c r="E11" s="1"/>
    </row>
    <row r="12" spans="1:5" ht="14.25" customHeight="1" x14ac:dyDescent="0.25">
      <c r="A12" s="1"/>
      <c r="B12" s="108" t="s">
        <v>219</v>
      </c>
      <c r="C12" s="109"/>
      <c r="D12" s="110"/>
      <c r="E12" s="1"/>
    </row>
    <row r="13" spans="1:5" ht="26.25" x14ac:dyDescent="0.25">
      <c r="A13" s="1"/>
      <c r="B13" s="78" t="s">
        <v>218</v>
      </c>
      <c r="C13" s="7">
        <v>0</v>
      </c>
      <c r="D13" s="8" t="s">
        <v>3</v>
      </c>
      <c r="E13" s="1"/>
    </row>
    <row r="14" spans="1:5" ht="14.25" customHeight="1" x14ac:dyDescent="0.25">
      <c r="A14" s="1"/>
      <c r="B14" s="65" t="s">
        <v>173</v>
      </c>
      <c r="C14" s="7">
        <v>0</v>
      </c>
      <c r="D14" s="8" t="s">
        <v>3</v>
      </c>
      <c r="E14" s="1"/>
    </row>
    <row r="15" spans="1:5" ht="14.25" customHeight="1" x14ac:dyDescent="0.25">
      <c r="A15" s="1"/>
      <c r="B15" s="81" t="s">
        <v>48</v>
      </c>
      <c r="C15" s="10">
        <f>C14-C13</f>
        <v>0</v>
      </c>
      <c r="D15" s="11" t="s">
        <v>3</v>
      </c>
      <c r="E15" s="1"/>
    </row>
    <row r="16" spans="1:5" ht="14.25" customHeight="1" x14ac:dyDescent="0.25">
      <c r="A16" s="1"/>
      <c r="B16" s="33" t="s">
        <v>174</v>
      </c>
      <c r="C16" s="12">
        <f>C11+C15</f>
        <v>0</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XsMxBMNefKj9dCCHVzM5g8ghWckfRJBbWXIR39nmwnb51zTkS9cEP3+v5Zaz9O3N0pH0bb5zghHSi2FBqMlOgQ==" saltValue="N/i4sUg8c58ArbUpP3PiJw=="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4" t="s">
        <v>113</v>
      </c>
      <c r="C3" s="104"/>
      <c r="D3" s="104"/>
      <c r="E3" s="104"/>
      <c r="F3" s="104"/>
      <c r="G3" s="104"/>
      <c r="H3" s="104"/>
      <c r="I3" s="104"/>
      <c r="J3" s="104"/>
      <c r="K3" s="104"/>
      <c r="L3" s="1"/>
    </row>
    <row r="4" spans="1:12" ht="15" customHeight="1" x14ac:dyDescent="0.25">
      <c r="A4" s="1"/>
      <c r="B4" s="104"/>
      <c r="C4" s="104"/>
      <c r="D4" s="104"/>
      <c r="E4" s="104"/>
      <c r="F4" s="104"/>
      <c r="G4" s="104"/>
      <c r="H4" s="104"/>
      <c r="I4" s="104"/>
      <c r="J4" s="104"/>
      <c r="K4" s="10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8" t="s">
        <v>86</v>
      </c>
      <c r="C8" s="109"/>
      <c r="D8" s="109"/>
      <c r="E8" s="109"/>
      <c r="F8" s="109"/>
      <c r="G8" s="109"/>
      <c r="H8" s="109"/>
      <c r="I8" s="109"/>
      <c r="J8" s="109"/>
      <c r="K8" s="110"/>
      <c r="L8" s="1"/>
    </row>
    <row r="9" spans="1:12" ht="39.75" customHeight="1" x14ac:dyDescent="0.25">
      <c r="A9" s="1"/>
      <c r="B9" s="18" t="s">
        <v>0</v>
      </c>
      <c r="C9" s="18" t="s">
        <v>1</v>
      </c>
      <c r="D9" s="125" t="s">
        <v>96</v>
      </c>
      <c r="E9" s="126"/>
      <c r="F9" s="125" t="s">
        <v>2</v>
      </c>
      <c r="G9" s="126"/>
      <c r="H9" s="125" t="s">
        <v>95</v>
      </c>
      <c r="I9" s="126"/>
      <c r="J9" s="125" t="s">
        <v>26</v>
      </c>
      <c r="K9" s="126"/>
      <c r="L9" s="1"/>
    </row>
    <row r="10" spans="1:12" x14ac:dyDescent="0.25">
      <c r="A10" s="1"/>
      <c r="B10" s="68" t="s">
        <v>224</v>
      </c>
      <c r="C10" s="42">
        <v>0</v>
      </c>
      <c r="D10" s="9">
        <v>0</v>
      </c>
      <c r="E10" s="14" t="s">
        <v>3</v>
      </c>
      <c r="F10" s="9">
        <f>IFERROR(D10/C10,0)</f>
        <v>0</v>
      </c>
      <c r="G10" s="14" t="s">
        <v>3</v>
      </c>
      <c r="H10" s="38">
        <v>0</v>
      </c>
      <c r="I10" s="14" t="s">
        <v>3</v>
      </c>
      <c r="J10" s="38">
        <v>0</v>
      </c>
      <c r="K10" s="14" t="s">
        <v>3</v>
      </c>
      <c r="L10" s="1"/>
    </row>
    <row r="11" spans="1:12" x14ac:dyDescent="0.25">
      <c r="A11" s="1"/>
      <c r="B11" s="75" t="s">
        <v>221</v>
      </c>
      <c r="C11" s="76"/>
      <c r="D11" s="77"/>
      <c r="E11" s="77"/>
      <c r="F11" s="12">
        <f>SUM(F10:F10)</f>
        <v>0</v>
      </c>
      <c r="G11" s="12" t="s">
        <v>94</v>
      </c>
      <c r="H11" s="12">
        <f>SUM(H10:H10)</f>
        <v>0</v>
      </c>
      <c r="I11" s="12" t="s">
        <v>94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a+2MByRcrJhaUjDspACuWAhFsVNtd5fsplskyjjdkK51/+DlMC1+b93tN7cteSTOBhAdjLG3z4tqq44tvc4YFQ==" saltValue="Z0B5FPZ5iEHgety2j1LoAQ=="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114</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79" t="s">
        <v>17</v>
      </c>
      <c r="C9" s="81" t="s">
        <v>11</v>
      </c>
      <c r="D9" s="80"/>
      <c r="E9" s="81" t="s">
        <v>27</v>
      </c>
      <c r="F9" s="32"/>
      <c r="G9" s="1"/>
    </row>
    <row r="10" spans="1:7" x14ac:dyDescent="0.25">
      <c r="A10" s="1"/>
      <c r="B10" s="24" t="s">
        <v>87</v>
      </c>
      <c r="C10" s="21">
        <f>'Fane 10. Anlægsprojekter (§ 19)'!H11</f>
        <v>0</v>
      </c>
      <c r="D10" s="14" t="s">
        <v>3</v>
      </c>
      <c r="E10" s="9">
        <f>'Fane 10. Anlægsprojekter (§ 19)'!F11+'Fane 10. Anlægsprojekter (§ 19)'!J11</f>
        <v>0</v>
      </c>
      <c r="F10" s="14" t="s">
        <v>3</v>
      </c>
      <c r="G10" s="1"/>
    </row>
    <row r="11" spans="1:7" x14ac:dyDescent="0.25">
      <c r="A11" s="1"/>
      <c r="B11" s="24" t="s">
        <v>234</v>
      </c>
      <c r="C11" s="21">
        <v>896299</v>
      </c>
      <c r="D11" s="14" t="s">
        <v>3</v>
      </c>
      <c r="E11" s="9">
        <v>0</v>
      </c>
      <c r="F11" s="14" t="s">
        <v>3</v>
      </c>
      <c r="G11" s="1"/>
    </row>
    <row r="12" spans="1:7" x14ac:dyDescent="0.25">
      <c r="A12" s="1"/>
      <c r="B12" s="24" t="s">
        <v>235</v>
      </c>
      <c r="C12" s="21">
        <v>0</v>
      </c>
      <c r="D12" s="14" t="s">
        <v>3</v>
      </c>
      <c r="E12" s="9">
        <v>21582</v>
      </c>
      <c r="F12" s="14" t="s">
        <v>3</v>
      </c>
      <c r="G12" s="1"/>
    </row>
    <row r="13" spans="1:7" x14ac:dyDescent="0.25">
      <c r="A13" s="1"/>
      <c r="B13" s="24" t="s">
        <v>236</v>
      </c>
      <c r="C13" s="21">
        <v>26237</v>
      </c>
      <c r="D13" s="14" t="s">
        <v>3</v>
      </c>
      <c r="E13" s="9">
        <v>280970</v>
      </c>
      <c r="F13" s="14" t="s">
        <v>3</v>
      </c>
      <c r="G13" s="1"/>
    </row>
    <row r="14" spans="1:7" x14ac:dyDescent="0.25">
      <c r="A14" s="1"/>
      <c r="B14" s="24" t="s">
        <v>237</v>
      </c>
      <c r="C14" s="21">
        <v>131183</v>
      </c>
      <c r="D14" s="14" t="s">
        <v>3</v>
      </c>
      <c r="E14" s="9">
        <v>541213</v>
      </c>
      <c r="F14" s="14" t="s">
        <v>3</v>
      </c>
      <c r="G14" s="1"/>
    </row>
    <row r="15" spans="1:7" x14ac:dyDescent="0.25">
      <c r="A15" s="1"/>
      <c r="B15" s="24" t="s">
        <v>238</v>
      </c>
      <c r="C15" s="21">
        <v>130754</v>
      </c>
      <c r="D15" s="14" t="s">
        <v>3</v>
      </c>
      <c r="E15" s="9">
        <v>0</v>
      </c>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139</v>
      </c>
      <c r="C19" s="12">
        <f>SUM(C10:C18)</f>
        <v>1184473</v>
      </c>
      <c r="D19" s="13" t="s">
        <v>3</v>
      </c>
      <c r="E19" s="12">
        <f>SUM(E10:E18)</f>
        <v>843765</v>
      </c>
      <c r="F19" s="13" t="s">
        <v>3</v>
      </c>
      <c r="G19" s="1"/>
    </row>
    <row r="20" spans="1:7" x14ac:dyDescent="0.25">
      <c r="A20" s="1"/>
      <c r="B20" s="33" t="s">
        <v>175</v>
      </c>
      <c r="C20" s="12">
        <f>C19*(1+'Fane 15. Nøgletal'!C10)</f>
        <v>1263003.5599</v>
      </c>
      <c r="D20" s="13" t="s">
        <v>3</v>
      </c>
      <c r="E20" s="12">
        <f>E19*(1+'Fane 15. Nøgletal'!C10)</f>
        <v>899706.61950000003</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GBNTNDC610F1iHGhIljEuwPBY+pwtDaDG6jRe6S5zsfUdQxIJUDr2LMJ0j+vjNca7eSW2wsiWt6VZ++sR+XqTg==" saltValue="VO3LEer3/wW8pgV+EhCHkw=="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115</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8" t="s">
        <v>176</v>
      </c>
      <c r="C8" s="109"/>
      <c r="D8" s="109"/>
      <c r="E8" s="109"/>
      <c r="F8" s="110"/>
      <c r="G8" s="1"/>
    </row>
    <row r="9" spans="1:7" x14ac:dyDescent="0.25">
      <c r="A9" s="1"/>
      <c r="B9" s="79" t="s">
        <v>17</v>
      </c>
      <c r="C9" s="81" t="s">
        <v>11</v>
      </c>
      <c r="D9" s="80"/>
      <c r="E9" s="81" t="s">
        <v>27</v>
      </c>
      <c r="F9" s="32"/>
      <c r="G9" s="1"/>
    </row>
    <row r="10" spans="1:7" x14ac:dyDescent="0.25">
      <c r="A10" s="1"/>
      <c r="B10" s="24" t="s">
        <v>42</v>
      </c>
      <c r="C10" s="21">
        <v>2615081</v>
      </c>
      <c r="D10" s="14" t="s">
        <v>3</v>
      </c>
      <c r="E10" s="9">
        <v>0</v>
      </c>
      <c r="F10" s="14" t="s">
        <v>3</v>
      </c>
      <c r="G10" s="1"/>
    </row>
    <row r="11" spans="1:7" x14ac:dyDescent="0.25">
      <c r="A11" s="1"/>
      <c r="B11" s="24"/>
      <c r="C11" s="21"/>
      <c r="D11" s="14" t="s">
        <v>3</v>
      </c>
      <c r="E11" s="9"/>
      <c r="F11" s="14" t="s">
        <v>3</v>
      </c>
      <c r="G11" s="1"/>
    </row>
    <row r="12" spans="1:7" x14ac:dyDescent="0.25">
      <c r="A12" s="1"/>
      <c r="B12" s="24"/>
      <c r="C12" s="21"/>
      <c r="D12" s="14" t="s">
        <v>3</v>
      </c>
      <c r="E12" s="9"/>
      <c r="F12" s="14" t="s">
        <v>3</v>
      </c>
      <c r="G12" s="1"/>
    </row>
    <row r="13" spans="1:7" x14ac:dyDescent="0.25">
      <c r="A13" s="1"/>
      <c r="B13" s="33" t="s">
        <v>177</v>
      </c>
      <c r="C13" s="12">
        <f>SUM(C10:C12)</f>
        <v>2615081</v>
      </c>
      <c r="D13" s="13" t="s">
        <v>3</v>
      </c>
      <c r="E13" s="12">
        <f>SUM(E10:E12)</f>
        <v>0</v>
      </c>
      <c r="F13" s="13" t="s">
        <v>3</v>
      </c>
      <c r="G13" s="1"/>
    </row>
    <row r="14" spans="1:7" x14ac:dyDescent="0.25">
      <c r="A14" s="1"/>
      <c r="B14" s="33" t="s">
        <v>178</v>
      </c>
      <c r="C14" s="12">
        <f>C13*(1+'Fane 15. Nøgletal'!C10)^2</f>
        <v>2973335.8260008902</v>
      </c>
      <c r="D14" s="13" t="s">
        <v>3</v>
      </c>
      <c r="E14" s="12">
        <f>E13*(1+'Fane 15. Nøgletal'!C10)^2</f>
        <v>0</v>
      </c>
      <c r="F14" s="13" t="s">
        <v>3</v>
      </c>
      <c r="G14" s="1"/>
    </row>
    <row r="15" spans="1:7" x14ac:dyDescent="0.25">
      <c r="A15" s="1"/>
      <c r="B15" s="1"/>
      <c r="C15" s="1"/>
      <c r="D15" s="1"/>
      <c r="E15" s="1"/>
      <c r="F15" s="1"/>
      <c r="G15" s="1"/>
    </row>
    <row r="16" spans="1:7" x14ac:dyDescent="0.25">
      <c r="A16" s="1"/>
      <c r="B16" s="127"/>
      <c r="C16" s="127"/>
      <c r="D16" s="127"/>
      <c r="E16" s="127"/>
      <c r="F16" s="127"/>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27"/>
      <c r="C29" s="127"/>
      <c r="D29" s="127"/>
      <c r="E29" s="127"/>
      <c r="F29" s="127"/>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LrJG+h49MDxwZdXm9BDg+FGb0H2xvf+HorON19u2Dv+xr2wNn9vEHABcSZQ+FDyFFUa2QRfNyeSOJCxYhtOebA==" saltValue="x5Xo5cnrX26E6dibbdanfA=="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116</v>
      </c>
      <c r="C3" s="107"/>
      <c r="D3" s="107"/>
      <c r="E3" s="1"/>
    </row>
    <row r="4" spans="1:5" ht="15" customHeight="1" x14ac:dyDescent="0.25">
      <c r="A4" s="1"/>
      <c r="B4" s="107"/>
      <c r="C4" s="107"/>
      <c r="D4" s="107"/>
      <c r="E4" s="1"/>
    </row>
    <row r="5" spans="1:5" x14ac:dyDescent="0.25">
      <c r="A5" s="1"/>
      <c r="B5" s="107"/>
      <c r="C5" s="107"/>
      <c r="D5" s="107"/>
      <c r="E5" s="1"/>
    </row>
    <row r="6" spans="1:5" x14ac:dyDescent="0.25">
      <c r="A6" s="1"/>
      <c r="B6" s="1"/>
      <c r="C6" s="1"/>
      <c r="D6" s="1"/>
      <c r="E6" s="1"/>
    </row>
    <row r="7" spans="1:5" x14ac:dyDescent="0.25">
      <c r="A7" s="1"/>
      <c r="B7" s="1"/>
      <c r="C7" s="1"/>
      <c r="D7" s="1"/>
      <c r="E7" s="1"/>
    </row>
    <row r="8" spans="1:5" ht="14.25" customHeight="1" x14ac:dyDescent="0.25">
      <c r="A8" s="1"/>
      <c r="B8" s="108" t="s">
        <v>73</v>
      </c>
      <c r="C8" s="109"/>
      <c r="D8" s="110"/>
      <c r="E8" s="1"/>
    </row>
    <row r="9" spans="1:5" x14ac:dyDescent="0.25">
      <c r="A9" s="1"/>
      <c r="B9" s="68" t="s">
        <v>179</v>
      </c>
      <c r="C9" s="9">
        <v>0</v>
      </c>
      <c r="D9" s="14" t="s">
        <v>3</v>
      </c>
      <c r="E9" s="1"/>
    </row>
    <row r="10" spans="1:5" x14ac:dyDescent="0.25">
      <c r="A10" s="1"/>
      <c r="B10" s="64" t="s">
        <v>10</v>
      </c>
      <c r="C10" s="9">
        <f>-C9*'Fane 5. Individuelt eff. krav'!C9</f>
        <v>0</v>
      </c>
      <c r="D10" s="14" t="s">
        <v>3</v>
      </c>
      <c r="E10" s="1"/>
    </row>
    <row r="11" spans="1:5" x14ac:dyDescent="0.25">
      <c r="A11" s="1"/>
      <c r="B11" s="64" t="s">
        <v>22</v>
      </c>
      <c r="C11" s="9">
        <f>-C9*'Fane 15. Nøgletal'!C21</f>
        <v>0</v>
      </c>
      <c r="D11" s="14" t="s">
        <v>3</v>
      </c>
      <c r="E11" s="1"/>
    </row>
    <row r="12" spans="1:5" x14ac:dyDescent="0.25">
      <c r="A12" s="1"/>
      <c r="B12" s="75" t="s">
        <v>74</v>
      </c>
      <c r="C12" s="12">
        <f>SUM(C9:C11)*(1+'Fane 15. Nøgletal'!C9)^2</f>
        <v>0</v>
      </c>
      <c r="D12" s="13" t="s">
        <v>3</v>
      </c>
      <c r="E12" s="1"/>
    </row>
    <row r="13" spans="1:5" x14ac:dyDescent="0.25">
      <c r="A13" s="1"/>
      <c r="B13" s="1"/>
      <c r="C13" s="1"/>
      <c r="D13" s="1"/>
      <c r="E13" s="1"/>
    </row>
    <row r="14" spans="1:5" ht="15" customHeight="1" x14ac:dyDescent="0.25">
      <c r="A14" s="1"/>
      <c r="B14" s="108" t="s">
        <v>84</v>
      </c>
      <c r="C14" s="109"/>
      <c r="D14" s="110"/>
      <c r="E14" s="1"/>
    </row>
    <row r="15" spans="1:5" x14ac:dyDescent="0.25">
      <c r="A15" s="1"/>
      <c r="B15" s="68" t="s">
        <v>179</v>
      </c>
      <c r="C15" s="9">
        <v>0</v>
      </c>
      <c r="D15" s="14" t="s">
        <v>3</v>
      </c>
      <c r="E15" s="1"/>
    </row>
    <row r="16" spans="1:5" x14ac:dyDescent="0.25">
      <c r="A16" s="1"/>
      <c r="B16" s="64" t="s">
        <v>10</v>
      </c>
      <c r="C16" s="9">
        <f>-C15*'Fane 5. Individuelt eff. krav'!C9</f>
        <v>0</v>
      </c>
      <c r="D16" s="14" t="s">
        <v>3</v>
      </c>
      <c r="E16" s="1"/>
    </row>
    <row r="17" spans="1:5" x14ac:dyDescent="0.25">
      <c r="A17" s="1"/>
      <c r="B17" s="64" t="s">
        <v>22</v>
      </c>
      <c r="C17" s="9">
        <f>-C15*'Fane 15. Nøgletal'!C21</f>
        <v>0</v>
      </c>
      <c r="D17" s="14" t="s">
        <v>3</v>
      </c>
      <c r="E17" s="1"/>
    </row>
    <row r="18" spans="1:5" x14ac:dyDescent="0.25">
      <c r="A18" s="1"/>
      <c r="B18" s="75" t="s">
        <v>85</v>
      </c>
      <c r="C18" s="12">
        <f>SUM(C15:C17)*(1+'Fane 15. Nøgletal'!C10)^3</f>
        <v>0</v>
      </c>
      <c r="D18" s="13" t="s">
        <v>3</v>
      </c>
      <c r="E18" s="1"/>
    </row>
    <row r="19" spans="1:5" x14ac:dyDescent="0.25">
      <c r="A19" s="1"/>
      <c r="B19" s="1"/>
      <c r="C19" s="1"/>
      <c r="D19" s="1"/>
      <c r="E19" s="1"/>
    </row>
    <row r="20" spans="1:5" ht="15" customHeight="1" x14ac:dyDescent="0.25">
      <c r="A20" s="1"/>
      <c r="B20" s="108" t="s">
        <v>140</v>
      </c>
      <c r="C20" s="109"/>
      <c r="D20" s="110"/>
      <c r="E20" s="1"/>
    </row>
    <row r="21" spans="1:5" x14ac:dyDescent="0.25">
      <c r="A21" s="1"/>
      <c r="B21" s="68" t="s">
        <v>179</v>
      </c>
      <c r="C21" s="9">
        <v>0</v>
      </c>
      <c r="D21" s="14" t="s">
        <v>3</v>
      </c>
      <c r="E21" s="1"/>
    </row>
    <row r="22" spans="1:5" x14ac:dyDescent="0.25">
      <c r="A22" s="1"/>
      <c r="B22" s="64" t="s">
        <v>10</v>
      </c>
      <c r="C22" s="9">
        <f>-C21*'Fane 5. Individuelt eff. krav'!C9</f>
        <v>0</v>
      </c>
      <c r="D22" s="14" t="s">
        <v>3</v>
      </c>
      <c r="E22" s="1"/>
    </row>
    <row r="23" spans="1:5" x14ac:dyDescent="0.25">
      <c r="A23" s="1"/>
      <c r="B23" s="64" t="s">
        <v>22</v>
      </c>
      <c r="C23" s="9">
        <f>-C21*'Fane 15. Nøgletal'!C21</f>
        <v>0</v>
      </c>
      <c r="D23" s="14" t="s">
        <v>3</v>
      </c>
      <c r="E23" s="1"/>
    </row>
    <row r="24" spans="1:5" x14ac:dyDescent="0.25">
      <c r="A24" s="1"/>
      <c r="B24" s="75" t="s">
        <v>141</v>
      </c>
      <c r="C24" s="12">
        <f>SUM(C21:C23)*(1+'Fane 15. Nøgletal'!C10)^4</f>
        <v>0</v>
      </c>
      <c r="D24" s="13" t="s">
        <v>3</v>
      </c>
      <c r="E24" s="1"/>
    </row>
    <row r="25" spans="1:5" x14ac:dyDescent="0.25">
      <c r="A25" s="1"/>
      <c r="B25" s="1"/>
      <c r="C25" s="1"/>
      <c r="D25" s="1"/>
      <c r="E25" s="1"/>
    </row>
    <row r="26" spans="1:5" ht="15" customHeight="1" x14ac:dyDescent="0.25">
      <c r="A26" s="1"/>
      <c r="B26" s="108" t="s">
        <v>180</v>
      </c>
      <c r="C26" s="109"/>
      <c r="D26" s="110"/>
      <c r="E26" s="1"/>
    </row>
    <row r="27" spans="1:5" ht="14.25" customHeight="1" x14ac:dyDescent="0.25">
      <c r="A27" s="1"/>
      <c r="B27" s="68" t="s">
        <v>179</v>
      </c>
      <c r="C27" s="9">
        <v>0</v>
      </c>
      <c r="D27" s="14" t="s">
        <v>3</v>
      </c>
      <c r="E27" s="1"/>
    </row>
    <row r="28" spans="1:5" x14ac:dyDescent="0.25">
      <c r="A28" s="1"/>
      <c r="B28" s="64" t="s">
        <v>10</v>
      </c>
      <c r="C28" s="9">
        <f>-C27*'Fane 5. Individuelt eff. krav'!C9</f>
        <v>0</v>
      </c>
      <c r="D28" s="14" t="s">
        <v>3</v>
      </c>
      <c r="E28" s="1"/>
    </row>
    <row r="29" spans="1:5" x14ac:dyDescent="0.25">
      <c r="A29" s="1"/>
      <c r="B29" s="64" t="s">
        <v>22</v>
      </c>
      <c r="C29" s="9">
        <f>-C27*'Fane 15. Nøgletal'!C21</f>
        <v>0</v>
      </c>
      <c r="D29" s="14" t="s">
        <v>3</v>
      </c>
      <c r="E29" s="1"/>
    </row>
    <row r="30" spans="1:5" x14ac:dyDescent="0.25">
      <c r="A30" s="1"/>
      <c r="B30" s="75" t="s">
        <v>181</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XtNNkLu0dF5o9xnh+JGmUCdtQxw+CQrnpyBXALIytzgygGN+qQE8QWXxrYSvAOfisM0kVdkmYS3HBow5fEECtw==" saltValue="1aCD7hR4MN8MDXs49gujwA=="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7" t="s">
        <v>117</v>
      </c>
      <c r="C3" s="107"/>
      <c r="D3" s="107"/>
      <c r="E3" s="107"/>
      <c r="F3" s="107"/>
      <c r="G3" s="1"/>
    </row>
    <row r="4" spans="1:7" ht="15" customHeight="1" x14ac:dyDescent="0.25">
      <c r="A4" s="1"/>
      <c r="B4" s="107"/>
      <c r="C4" s="107"/>
      <c r="D4" s="107"/>
      <c r="E4" s="107"/>
      <c r="F4" s="107"/>
      <c r="G4" s="1"/>
    </row>
    <row r="5" spans="1:7" x14ac:dyDescent="0.25">
      <c r="A5" s="1"/>
      <c r="B5" s="107"/>
      <c r="C5" s="107"/>
      <c r="D5" s="107"/>
      <c r="E5" s="107"/>
      <c r="F5" s="107"/>
      <c r="G5" s="1"/>
    </row>
    <row r="6" spans="1:7" x14ac:dyDescent="0.25">
      <c r="A6" s="1"/>
      <c r="B6" s="1"/>
      <c r="C6" s="1"/>
      <c r="D6" s="1"/>
      <c r="E6" s="1"/>
      <c r="F6" s="1"/>
      <c r="G6" s="1"/>
    </row>
    <row r="7" spans="1:7" x14ac:dyDescent="0.25">
      <c r="A7" s="1"/>
      <c r="B7" s="1"/>
      <c r="C7" s="1"/>
      <c r="D7" s="1"/>
      <c r="E7" s="1"/>
      <c r="F7" s="1"/>
      <c r="G7" s="1"/>
    </row>
    <row r="8" spans="1:7" x14ac:dyDescent="0.25">
      <c r="A8" s="1"/>
      <c r="B8" s="108" t="s">
        <v>66</v>
      </c>
      <c r="C8" s="109"/>
      <c r="D8" s="109"/>
      <c r="E8" s="109"/>
      <c r="F8" s="110"/>
      <c r="G8" s="1"/>
    </row>
    <row r="9" spans="1:7" ht="15" customHeight="1" x14ac:dyDescent="0.25">
      <c r="A9" s="1"/>
      <c r="B9" s="31" t="s">
        <v>67</v>
      </c>
      <c r="C9" s="27" t="s">
        <v>11</v>
      </c>
      <c r="D9" s="32"/>
      <c r="E9" s="27" t="s">
        <v>27</v>
      </c>
      <c r="F9" s="32"/>
      <c r="G9" s="1"/>
    </row>
    <row r="10" spans="1:7" ht="26.25" x14ac:dyDescent="0.25">
      <c r="A10" s="1"/>
      <c r="B10" s="70" t="s">
        <v>222</v>
      </c>
      <c r="C10" s="9">
        <v>0</v>
      </c>
      <c r="D10" s="14" t="s">
        <v>3</v>
      </c>
      <c r="E10" s="9">
        <v>0</v>
      </c>
      <c r="F10" s="14" t="s">
        <v>3</v>
      </c>
      <c r="G10" s="1"/>
    </row>
    <row r="11" spans="1:7" ht="28.5" customHeight="1" x14ac:dyDescent="0.25">
      <c r="A11" s="1"/>
      <c r="B11" s="20" t="s">
        <v>142</v>
      </c>
      <c r="C11" s="12">
        <f>SUM(C10:C10)</f>
        <v>0</v>
      </c>
      <c r="D11" s="13" t="s">
        <v>3</v>
      </c>
      <c r="E11" s="12">
        <f>SUM(E10:E10)</f>
        <v>0</v>
      </c>
      <c r="F11" s="13" t="s">
        <v>3</v>
      </c>
      <c r="G11" s="1"/>
    </row>
    <row r="12" spans="1:7" ht="27" customHeight="1" x14ac:dyDescent="0.25">
      <c r="A12" s="1"/>
      <c r="B12" s="20" t="s">
        <v>182</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YHVLbRoATKVZDg4YRbEwd3rfTwlS1Qvk0jkjJG1aTWPPNkAf8wEvKqv+iGft1AVKUYyKGRVi40udd86qZ/YSBw==" saltValue="sLgdg0++I1MdC4mvfvdWcQ=="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7" t="s">
        <v>118</v>
      </c>
      <c r="C3" s="107"/>
      <c r="D3" s="107"/>
      <c r="E3" s="107"/>
      <c r="F3" s="107"/>
      <c r="G3" s="1"/>
    </row>
    <row r="4" spans="1:7" ht="15" customHeight="1" x14ac:dyDescent="0.25">
      <c r="A4" s="1"/>
      <c r="B4" s="107"/>
      <c r="C4" s="107"/>
      <c r="D4" s="107"/>
      <c r="E4" s="107"/>
      <c r="F4" s="107"/>
      <c r="G4" s="1"/>
    </row>
    <row r="5" spans="1:7" x14ac:dyDescent="0.25">
      <c r="A5" s="1"/>
      <c r="B5" s="107"/>
      <c r="C5" s="107"/>
      <c r="D5" s="107"/>
      <c r="E5" s="107"/>
      <c r="F5" s="107"/>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08" t="s">
        <v>183</v>
      </c>
      <c r="C8" s="109"/>
      <c r="D8" s="109"/>
      <c r="E8" s="109"/>
      <c r="F8" s="110"/>
      <c r="G8" s="1"/>
    </row>
    <row r="9" spans="1:7" x14ac:dyDescent="0.25">
      <c r="A9" s="1"/>
      <c r="B9" s="31" t="s">
        <v>18</v>
      </c>
      <c r="C9" s="128" t="s">
        <v>11</v>
      </c>
      <c r="D9" s="129"/>
      <c r="E9" s="128" t="s">
        <v>27</v>
      </c>
      <c r="F9" s="129"/>
      <c r="G9" s="1"/>
    </row>
    <row r="10" spans="1:7" x14ac:dyDescent="0.25">
      <c r="A10" s="1"/>
      <c r="B10" s="70" t="s">
        <v>223</v>
      </c>
      <c r="C10" s="9">
        <v>0</v>
      </c>
      <c r="D10" s="14" t="s">
        <v>3</v>
      </c>
      <c r="E10" s="9">
        <v>0</v>
      </c>
      <c r="F10" s="14" t="s">
        <v>3</v>
      </c>
      <c r="G10" s="1"/>
    </row>
    <row r="11" spans="1:7" x14ac:dyDescent="0.25">
      <c r="A11" s="1"/>
      <c r="B11" s="33" t="s">
        <v>143</v>
      </c>
      <c r="C11" s="12">
        <f>SUM(C10:C10)</f>
        <v>0</v>
      </c>
      <c r="D11" s="13" t="s">
        <v>3</v>
      </c>
      <c r="E11" s="12">
        <f>SUM(E10:E10)</f>
        <v>0</v>
      </c>
      <c r="F11" s="13" t="s">
        <v>3</v>
      </c>
      <c r="G11" s="1"/>
    </row>
    <row r="12" spans="1:7" x14ac:dyDescent="0.25">
      <c r="A12" s="1"/>
      <c r="B12" s="33" t="s">
        <v>216</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27"/>
      <c r="C14" s="127"/>
      <c r="D14" s="127"/>
      <c r="E14" s="127"/>
      <c r="F14" s="127"/>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27"/>
      <c r="C21" s="127"/>
      <c r="D21" s="127"/>
      <c r="E21" s="127"/>
      <c r="F21" s="127"/>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27"/>
      <c r="C27" s="127"/>
      <c r="D27" s="127"/>
      <c r="E27" s="127"/>
      <c r="F27" s="127"/>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n3eDdJjzSOrPExVCWojvb9lEz9KrL2PSOAS3gkigMxYV+up4qUA2CbC/3LgwD2NjInrruzTVE+o5LRXtD/tqHw==" saltValue="EUu6WvU5+eLNpVgNeUOroA=="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7" t="s">
        <v>119</v>
      </c>
      <c r="C3" s="107"/>
      <c r="D3" s="1"/>
    </row>
    <row r="4" spans="1:4" ht="15" customHeight="1" x14ac:dyDescent="0.25">
      <c r="A4" s="1"/>
      <c r="B4" s="107"/>
      <c r="C4" s="107"/>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122</v>
      </c>
      <c r="C9" s="61">
        <v>8.0799999999999997E-2</v>
      </c>
      <c r="D9" s="1"/>
    </row>
    <row r="10" spans="1:4" x14ac:dyDescent="0.25">
      <c r="A10" s="1"/>
      <c r="B10" s="59" t="s">
        <v>226</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50</v>
      </c>
      <c r="C14" s="19"/>
      <c r="D14" s="1"/>
    </row>
    <row r="15" spans="1:4" x14ac:dyDescent="0.25">
      <c r="A15" s="1"/>
      <c r="B15" s="59" t="s">
        <v>215</v>
      </c>
      <c r="C15" s="60">
        <v>0</v>
      </c>
      <c r="D15" s="1"/>
    </row>
    <row r="16" spans="1:4" x14ac:dyDescent="0.25">
      <c r="A16" s="1"/>
      <c r="B16" s="59" t="s">
        <v>227</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51</v>
      </c>
      <c r="C20" s="19"/>
      <c r="D20" s="1"/>
    </row>
    <row r="21" spans="1:4" x14ac:dyDescent="0.25">
      <c r="A21" s="1"/>
      <c r="B21" s="37" t="s">
        <v>59</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5ngKzn88v0ImH/5KZgwD7sup/k4lokGFUNsOr/fhh9sGXwJaEvuPO9HzENh7qQjnH3pesMTUNC1Ch0maQjXFEA==" saltValue="HSi23eJ6YJQIGaSdMHbrlA=="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Anton Bay Andersen</cp:lastModifiedBy>
  <cp:lastPrinted>2024-05-06T07:45:39Z</cp:lastPrinted>
  <dcterms:created xsi:type="dcterms:W3CDTF">2016-06-02T08:51:18Z</dcterms:created>
  <dcterms:modified xsi:type="dcterms:W3CDTF">2024-08-16T11:05:47Z</dcterms:modified>
</cp:coreProperties>
</file>