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ørlev Vandforsyning A.m.b.a. (V00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5" i="32" l="1"/>
  <c r="E10" i="11" l="1"/>
  <c r="E8" i="32" l="1"/>
  <c r="E38" i="32" s="1"/>
  <c r="E41" i="32" s="1"/>
  <c r="E21" i="15" l="1"/>
  <c r="E25" i="2"/>
  <c r="E17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3" i="32"/>
  <c r="E39" i="32" s="1"/>
  <c r="E42" i="32" s="1"/>
  <c r="E22" i="15" l="1"/>
  <c r="E26" i="2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9" i="2"/>
  <c r="E29" i="2" s="1"/>
  <c r="E14" i="22"/>
  <c r="E15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l="1"/>
  <c r="E16" i="2" s="1"/>
  <c r="E17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<sst xmlns="http://schemas.openxmlformats.org/spreadsheetml/2006/main" count="417" uniqueCount="162">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</sst>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0" fillId="0" borderId="1" xfId="0" applyBorder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3" t="s">
        <v>4</v>
      </c>
      <c r="E6" s="53"/>
      <c r="F6" s="53"/>
      <c r="G6" s="53"/>
      <c r="H6" s="3"/>
      <c r="I6" s="1"/>
    </row>
    <row r="7" spans="1:9" ht="15" customHeight="1" x14ac:dyDescent="0.45">
      <c r="A7" s="1"/>
      <c r="B7" s="1"/>
      <c r="C7" s="3"/>
      <c r="D7" s="53"/>
      <c r="E7" s="53"/>
      <c r="F7" s="53"/>
      <c r="G7" s="53"/>
      <c r="H7" s="3"/>
      <c r="I7" s="1"/>
    </row>
    <row r="8" spans="1:9" ht="15.75" x14ac:dyDescent="0.5">
      <c r="A8" s="1"/>
      <c r="B8" s="1"/>
      <c r="C8" s="4"/>
      <c r="D8" s="58" t="s">
        <v>131</v>
      </c>
      <c r="E8" s="58"/>
      <c r="F8" s="58"/>
      <c r="G8" s="5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7" t="s">
        <v>5</v>
      </c>
      <c r="E11" s="57"/>
      <c r="F11" s="57"/>
      <c r="G11" s="5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0" t="s">
        <v>83</v>
      </c>
      <c r="E13" s="51"/>
      <c r="F13" s="51"/>
      <c r="G13" s="52"/>
      <c r="H13" s="1"/>
      <c r="I13" s="1"/>
    </row>
    <row r="14" spans="1:9" x14ac:dyDescent="0.45">
      <c r="A14" s="1"/>
      <c r="B14" s="1"/>
      <c r="C14" s="6" t="s">
        <v>15</v>
      </c>
      <c r="D14" s="50" t="s">
        <v>132</v>
      </c>
      <c r="E14" s="51"/>
      <c r="F14" s="51"/>
      <c r="G14" s="52"/>
      <c r="H14" s="1"/>
      <c r="I14" s="1"/>
    </row>
    <row r="15" spans="1:9" x14ac:dyDescent="0.45">
      <c r="A15" s="1"/>
      <c r="B15" s="1"/>
      <c r="C15" s="6" t="s">
        <v>37</v>
      </c>
      <c r="D15" s="50" t="s">
        <v>47</v>
      </c>
      <c r="E15" s="51"/>
      <c r="F15" s="51"/>
      <c r="G15" s="52"/>
      <c r="H15" s="1"/>
      <c r="I15" s="1"/>
    </row>
    <row r="16" spans="1:9" x14ac:dyDescent="0.45">
      <c r="A16" s="1"/>
      <c r="B16" s="1"/>
      <c r="C16" s="6" t="s">
        <v>38</v>
      </c>
      <c r="D16" s="50" t="s">
        <v>84</v>
      </c>
      <c r="E16" s="51"/>
      <c r="F16" s="51"/>
      <c r="G16" s="52"/>
      <c r="H16" s="1"/>
      <c r="I16" s="1"/>
    </row>
    <row r="17" spans="1:9" x14ac:dyDescent="0.45">
      <c r="A17" s="1"/>
      <c r="B17" s="1"/>
      <c r="C17" s="6" t="s">
        <v>79</v>
      </c>
      <c r="D17" s="50" t="s">
        <v>85</v>
      </c>
      <c r="E17" s="51"/>
      <c r="F17" s="51"/>
      <c r="G17" s="52"/>
      <c r="H17" s="1"/>
      <c r="I17" s="1"/>
    </row>
    <row r="18" spans="1:9" x14ac:dyDescent="0.45">
      <c r="A18" s="1"/>
      <c r="B18" s="1"/>
      <c r="C18" s="6" t="s">
        <v>7</v>
      </c>
      <c r="D18" s="62" t="s">
        <v>12</v>
      </c>
      <c r="E18" s="63"/>
      <c r="F18" s="63"/>
      <c r="G18" s="64"/>
      <c r="H18" s="1"/>
      <c r="I18" s="1"/>
    </row>
    <row r="19" spans="1:9" x14ac:dyDescent="0.45">
      <c r="A19" s="1"/>
      <c r="B19" s="1"/>
      <c r="C19" s="6" t="s">
        <v>8</v>
      </c>
      <c r="D19" s="54" t="s">
        <v>86</v>
      </c>
      <c r="E19" s="55"/>
      <c r="F19" s="55"/>
      <c r="G19" s="56"/>
      <c r="H19" s="1"/>
      <c r="I19" s="1"/>
    </row>
    <row r="20" spans="1:9" x14ac:dyDescent="0.45">
      <c r="A20" s="1"/>
      <c r="B20" s="1"/>
      <c r="C20" s="6" t="s">
        <v>74</v>
      </c>
      <c r="D20" s="54" t="s">
        <v>39</v>
      </c>
      <c r="E20" s="55"/>
      <c r="F20" s="55"/>
      <c r="G20" s="56"/>
      <c r="H20" s="1"/>
      <c r="I20" s="1"/>
    </row>
    <row r="21" spans="1:9" x14ac:dyDescent="0.45">
      <c r="A21" s="1"/>
      <c r="B21" s="1"/>
      <c r="C21" s="6" t="s">
        <v>121</v>
      </c>
      <c r="D21" s="54" t="s">
        <v>51</v>
      </c>
      <c r="E21" s="55"/>
      <c r="F21" s="55"/>
      <c r="G21" s="56"/>
      <c r="H21" s="1"/>
      <c r="I21" s="1"/>
    </row>
    <row r="22" spans="1:9" x14ac:dyDescent="0.45">
      <c r="A22" s="1"/>
      <c r="B22" s="1"/>
      <c r="C22" s="6" t="s">
        <v>122</v>
      </c>
      <c r="D22" s="54" t="s">
        <v>52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123</v>
      </c>
      <c r="D23" s="54" t="s">
        <v>87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9</v>
      </c>
      <c r="D24" s="54" t="s">
        <v>40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61</v>
      </c>
      <c r="D25" s="59" t="s">
        <v>75</v>
      </c>
      <c r="E25" s="60"/>
      <c r="F25" s="60"/>
      <c r="G25" s="6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m8o8uOkyZKFFYOcxM5KxL1V/+fGC7WwHNmkKFtimMvatEdYoxCntoUkcQX10pkEeWvj1gbI++8lm8AwVqMZtA==" saltValue="i0/emoussUaWAPJdPU9z1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140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ncVfPAe/PWAaIvf0IrYKNo6rwLWu9YD+BYlb+EW3wFs5ZXYRQ2MCNOk8wEjxSwF+uQO/NL+Zd4bI0XxO+qpI4Q==" saltValue="ZEX+pY3FN1YVnMl0LnmID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141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3" t="s">
        <v>65</v>
      </c>
      <c r="C8" s="84"/>
      <c r="D8" s="84"/>
      <c r="E8" s="84"/>
      <c r="F8" s="85"/>
      <c r="G8" s="1"/>
    </row>
    <row r="9" spans="1:7" x14ac:dyDescent="0.4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3" t="s">
        <v>66</v>
      </c>
      <c r="C15" s="84"/>
      <c r="D15" s="84"/>
      <c r="E15" s="84"/>
      <c r="F15" s="85"/>
      <c r="G15" s="1"/>
    </row>
    <row r="16" spans="1:7" x14ac:dyDescent="0.4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3" t="s">
        <v>67</v>
      </c>
      <c r="C22" s="84"/>
      <c r="D22" s="84"/>
      <c r="E22" s="84"/>
      <c r="F22" s="85"/>
      <c r="G22" s="1"/>
    </row>
    <row r="23" spans="1:7" x14ac:dyDescent="0.4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3" t="s">
        <v>114</v>
      </c>
      <c r="C29" s="84"/>
      <c r="D29" s="84"/>
      <c r="E29" s="84"/>
      <c r="F29" s="85"/>
      <c r="G29" s="1"/>
    </row>
    <row r="30" spans="1:7" x14ac:dyDescent="0.4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4TPj5Q62mjJc6Yhu9GrQyRr4xdDgFbHGSD8+3GfxltZdbkwDZm0Ft6oPymCznKk69P9/Qh1kTtWztSkv4GLczw==" saltValue="aTlnMpvMTX/cL/Ez4J3Vg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142</v>
      </c>
      <c r="C3" s="81"/>
      <c r="D3" s="81"/>
      <c r="E3" s="81"/>
      <c r="F3" s="81"/>
      <c r="G3" s="1"/>
    </row>
    <row r="4" spans="1:7" ht="25.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3" t="s">
        <v>106</v>
      </c>
      <c r="C8" s="84"/>
      <c r="D8" s="84"/>
      <c r="E8" s="84"/>
      <c r="F8" s="85"/>
      <c r="G8" s="1"/>
    </row>
    <row r="9" spans="1:7" ht="15" customHeight="1" x14ac:dyDescent="0.45">
      <c r="A9" s="1"/>
      <c r="B9" s="42" t="s">
        <v>115</v>
      </c>
      <c r="C9" s="93" t="s">
        <v>11</v>
      </c>
      <c r="D9" s="94"/>
      <c r="E9" s="93" t="s">
        <v>31</v>
      </c>
      <c r="F9" s="94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unNrm22fGHCZUXqioIQEQvy9XwVJ9MmrdPaiQmgOMeutbic00yo8NiBF0U2MQdA6+rVBWIjB+5ibStSLmwT9gQ==" saltValue="lle0U4bhuzG54jkG8JcWY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143</v>
      </c>
      <c r="C3" s="81"/>
      <c r="D3" s="81"/>
      <c r="E3" s="81"/>
      <c r="F3" s="81"/>
      <c r="G3" s="1"/>
    </row>
    <row r="4" spans="1:7" ht="25.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3" t="s">
        <v>59</v>
      </c>
      <c r="C8" s="84"/>
      <c r="D8" s="84"/>
      <c r="E8" s="84"/>
      <c r="F8" s="85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58</v>
      </c>
      <c r="C14" s="84"/>
      <c r="D14" s="84"/>
      <c r="E14" s="84"/>
      <c r="F14" s="85"/>
      <c r="G14" s="1"/>
    </row>
    <row r="15" spans="1:7" x14ac:dyDescent="0.4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3" t="s">
        <v>60</v>
      </c>
      <c r="C20" s="84"/>
      <c r="D20" s="84"/>
      <c r="E20" s="84"/>
      <c r="F20" s="85"/>
      <c r="G20" s="1"/>
    </row>
    <row r="21" spans="1:7" x14ac:dyDescent="0.4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3" t="s">
        <v>109</v>
      </c>
      <c r="C26" s="84"/>
      <c r="D26" s="84"/>
      <c r="E26" s="84"/>
      <c r="F26" s="85"/>
      <c r="G26" s="1"/>
    </row>
    <row r="27" spans="1:7" x14ac:dyDescent="0.4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MguXipsxGW4brtAoa2IpKRCq+bHDB1h8TlHvzSM2TFdPupkOctBwvnA6dgcWy69+qS2uj2PH5pRyn//Mo+qNfw==" saltValue="Yzy6woBQZWHt+vBfftE+4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1" t="s">
        <v>144</v>
      </c>
      <c r="C3" s="81"/>
      <c r="D3" s="1"/>
    </row>
    <row r="4" spans="1:4" ht="25.5" customHeight="1" x14ac:dyDescent="0.45">
      <c r="A4" s="1"/>
      <c r="B4" s="81"/>
      <c r="C4" s="8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4" t="s">
        <v>14</v>
      </c>
      <c r="C8" s="45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4"/>
      <c r="C14" s="45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4" t="s">
        <v>72</v>
      </c>
      <c r="C17" s="45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5"/>
      <c r="C19" s="96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Eh0qcaGClQo+qzGHxKUsYDW2Jr50+tVGLkebcw/qtH8xytkd70NbwGsWo6CXsJjEUINSDUv18GR0WRsWI4Lk8Q==" saltValue="HMVlpolnj6mo1eH5HSfhe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88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45">
      <c r="A9" s="1"/>
      <c r="B9" s="34" t="s">
        <v>26</v>
      </c>
      <c r="C9" s="34"/>
      <c r="D9" s="34"/>
      <c r="E9" s="7">
        <f>'Fane 3. Omkostninger i ØR2020'!E16</f>
        <v>5959306.6062662387</v>
      </c>
      <c r="F9" s="34" t="s">
        <v>3</v>
      </c>
      <c r="G9" s="1"/>
    </row>
    <row r="10" spans="1:7" x14ac:dyDescent="0.45">
      <c r="A10" s="1"/>
      <c r="B10" s="34" t="s">
        <v>158</v>
      </c>
      <c r="C10" s="34"/>
      <c r="D10" s="34"/>
      <c r="E10" s="7">
        <v>-5730.8552294970459</v>
      </c>
      <c r="F10" s="34" t="s">
        <v>3</v>
      </c>
      <c r="G10" s="1"/>
    </row>
    <row r="11" spans="1:7" ht="17.100000000000001" customHeight="1" x14ac:dyDescent="0.45">
      <c r="A11" s="1"/>
      <c r="B11" s="34" t="s">
        <v>120</v>
      </c>
      <c r="C11" s="34"/>
      <c r="D11" s="34"/>
      <c r="E11" s="7">
        <v>40134.91344276099</v>
      </c>
      <c r="F11" s="34" t="s">
        <v>3</v>
      </c>
      <c r="G11" s="1"/>
    </row>
    <row r="12" spans="1:7" ht="17.100000000000001" customHeight="1" x14ac:dyDescent="0.45">
      <c r="A12" s="1"/>
      <c r="B12" s="27" t="s">
        <v>80</v>
      </c>
      <c r="C12" s="34"/>
      <c r="D12" s="34"/>
      <c r="E12" s="7">
        <f>'Fane 7.1. Varige tillæg'!C12+'Fane 7.1. Varige tillæg'!E12</f>
        <v>0</v>
      </c>
      <c r="F12" s="34" t="s">
        <v>3</v>
      </c>
      <c r="G12" s="1"/>
    </row>
    <row r="13" spans="1:7" ht="17.100000000000001" customHeight="1" x14ac:dyDescent="0.45">
      <c r="A13" s="1"/>
      <c r="B13" s="27" t="s">
        <v>82</v>
      </c>
      <c r="C13" s="34"/>
      <c r="D13" s="34"/>
      <c r="E13" s="8">
        <f>-('Fane 9. Bortfald'!C12+'Fane 9. Bortfald'!E12)</f>
        <v>0</v>
      </c>
      <c r="F13" s="34" t="s">
        <v>3</v>
      </c>
      <c r="G13" s="1"/>
    </row>
    <row r="14" spans="1:7" ht="17.100000000000001" customHeight="1" x14ac:dyDescent="0.45">
      <c r="A14" s="1"/>
      <c r="B14" s="27" t="s">
        <v>89</v>
      </c>
      <c r="C14" s="34"/>
      <c r="D14" s="34"/>
      <c r="E14" s="8">
        <f>'Fane 8. Tilknyttet virksomhed'!C12+'Fane 8. Tilknyttet virksomhed'!E12</f>
        <v>0</v>
      </c>
      <c r="F14" s="34" t="s">
        <v>3</v>
      </c>
      <c r="G14" s="1"/>
    </row>
    <row r="15" spans="1:7" ht="17.100000000000001" customHeight="1" x14ac:dyDescent="0.45">
      <c r="A15" s="1"/>
      <c r="B15" s="27" t="s">
        <v>18</v>
      </c>
      <c r="C15" s="34"/>
      <c r="D15" s="34"/>
      <c r="E15" s="8">
        <f>SUM(E9:E14)*'Fane 10. Nøgletal'!C13</f>
        <v>73123.270106649928</v>
      </c>
      <c r="F15" s="34" t="s">
        <v>3</v>
      </c>
      <c r="G15" s="1"/>
    </row>
    <row r="16" spans="1:7" ht="17.100000000000001" customHeight="1" x14ac:dyDescent="0.45">
      <c r="A16" s="1"/>
      <c r="B16" s="27" t="s">
        <v>72</v>
      </c>
      <c r="C16" s="34"/>
      <c r="D16" s="34"/>
      <c r="E16" s="8">
        <f>-SUM(E9:E15)*'Fane 10. Nøgletal'!C18</f>
        <v>-103136.1768879646</v>
      </c>
      <c r="F16" s="34" t="s">
        <v>3</v>
      </c>
      <c r="G16" s="1"/>
    </row>
    <row r="17" spans="1:7" ht="15" customHeight="1" x14ac:dyDescent="0.45">
      <c r="A17" s="1"/>
      <c r="B17" s="41" t="s">
        <v>20</v>
      </c>
      <c r="C17" s="38"/>
      <c r="D17" s="38"/>
      <c r="E17" s="9">
        <f>SUM(E9:E16)</f>
        <v>5963697.7576981876</v>
      </c>
      <c r="F17" s="40" t="s">
        <v>3</v>
      </c>
      <c r="G17" s="1"/>
    </row>
    <row r="18" spans="1:7" ht="15" customHeight="1" x14ac:dyDescent="0.45">
      <c r="A18" s="1"/>
      <c r="B18" s="39" t="s">
        <v>12</v>
      </c>
      <c r="C18" s="39"/>
      <c r="D18" s="39"/>
      <c r="E18" s="39"/>
      <c r="F18" s="39"/>
      <c r="G18" s="1"/>
    </row>
    <row r="19" spans="1:7" ht="15" customHeight="1" x14ac:dyDescent="0.45">
      <c r="A19" s="1"/>
      <c r="B19" s="40" t="s">
        <v>12</v>
      </c>
      <c r="C19" s="40"/>
      <c r="D19" s="40"/>
      <c r="E19" s="9">
        <f>'Fane 4. Ikke-påvirkelige omk.'!C15</f>
        <v>2313660.6071053785</v>
      </c>
      <c r="F19" s="40" t="s">
        <v>3</v>
      </c>
      <c r="G19" s="1"/>
    </row>
    <row r="20" spans="1:7" ht="15" customHeight="1" x14ac:dyDescent="0.45">
      <c r="A20" s="1"/>
      <c r="B20" s="39" t="s">
        <v>52</v>
      </c>
      <c r="C20" s="39"/>
      <c r="D20" s="39"/>
      <c r="E20" s="39"/>
      <c r="F20" s="39"/>
      <c r="G20" s="1"/>
    </row>
    <row r="21" spans="1:7" ht="15" customHeight="1" x14ac:dyDescent="0.45">
      <c r="A21" s="1"/>
      <c r="B21" s="27" t="s">
        <v>49</v>
      </c>
      <c r="C21" s="34"/>
      <c r="D21" s="34"/>
      <c r="E21" s="8">
        <f>'Fane 7.2. Engangstillæg'!C13</f>
        <v>0</v>
      </c>
      <c r="F21" s="34" t="s">
        <v>3</v>
      </c>
      <c r="G21" s="1"/>
    </row>
    <row r="22" spans="1:7" x14ac:dyDescent="0.45">
      <c r="A22" s="1"/>
      <c r="B22" s="27" t="s">
        <v>50</v>
      </c>
      <c r="C22" s="34"/>
      <c r="D22" s="34"/>
      <c r="E22" s="8">
        <f>'Fane 7.2. Engangstillæg'!E13</f>
        <v>0</v>
      </c>
      <c r="F22" s="34" t="s">
        <v>3</v>
      </c>
      <c r="G22" s="1"/>
    </row>
    <row r="23" spans="1:7" ht="15" customHeight="1" x14ac:dyDescent="0.45">
      <c r="A23" s="1"/>
      <c r="B23" s="41" t="s">
        <v>53</v>
      </c>
      <c r="C23" s="38"/>
      <c r="D23" s="38"/>
      <c r="E23" s="9">
        <f>SUM(E21:E22)</f>
        <v>0</v>
      </c>
      <c r="F23" s="40" t="s">
        <v>3</v>
      </c>
      <c r="G23" s="1"/>
    </row>
    <row r="24" spans="1:7" x14ac:dyDescent="0.45">
      <c r="A24" s="1"/>
      <c r="B24" s="39" t="s">
        <v>124</v>
      </c>
      <c r="C24" s="39"/>
      <c r="D24" s="39"/>
      <c r="E24" s="39"/>
      <c r="F24" s="39"/>
      <c r="G24" s="1"/>
    </row>
    <row r="25" spans="1:7" x14ac:dyDescent="0.45">
      <c r="A25" s="1"/>
      <c r="B25" s="41" t="s">
        <v>36</v>
      </c>
      <c r="C25" s="38"/>
      <c r="D25" s="38"/>
      <c r="E25" s="9">
        <f>'Fane 5. Kontrol af ØR2019'!E41</f>
        <v>-2204346.6219260502</v>
      </c>
      <c r="F25" s="40" t="s">
        <v>3</v>
      </c>
      <c r="G25" s="1"/>
    </row>
    <row r="26" spans="1:7" x14ac:dyDescent="0.45">
      <c r="A26" s="1"/>
      <c r="B26" s="32" t="s">
        <v>125</v>
      </c>
      <c r="C26" s="38"/>
      <c r="D26" s="38"/>
      <c r="E26" s="9">
        <f>'Fane 5. Kontrol af ØR2019'!E42</f>
        <v>0</v>
      </c>
      <c r="F26" s="40" t="s">
        <v>3</v>
      </c>
      <c r="G26" s="1"/>
    </row>
    <row r="27" spans="1:7" x14ac:dyDescent="0.45">
      <c r="A27" s="1"/>
      <c r="B27" s="39" t="s">
        <v>159</v>
      </c>
      <c r="C27" s="39"/>
      <c r="D27" s="39"/>
      <c r="E27" s="39"/>
      <c r="F27" s="39"/>
      <c r="G27" s="1"/>
    </row>
    <row r="28" spans="1:7" x14ac:dyDescent="0.45">
      <c r="A28" s="1"/>
      <c r="B28" s="32" t="s">
        <v>160</v>
      </c>
      <c r="C28" s="38"/>
      <c r="D28" s="38"/>
      <c r="E28" s="9">
        <v>399.14335302833138</v>
      </c>
      <c r="F28" s="40" t="s">
        <v>3</v>
      </c>
      <c r="G28" s="1"/>
    </row>
    <row r="29" spans="1:7" x14ac:dyDescent="0.45">
      <c r="A29" s="1"/>
      <c r="B29" s="39" t="s">
        <v>28</v>
      </c>
      <c r="C29" s="39"/>
      <c r="D29" s="39"/>
      <c r="E29" s="10">
        <f>SUM(E17,E19,E23,E25,E26,E28)</f>
        <v>6073410.8862305433</v>
      </c>
      <c r="F29" s="11" t="s">
        <v>3</v>
      </c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VLU9jRbAvBWEX8Tr1qWxWs3n236ltJ7M4xSSA0hgc1w8DvZK3YYX91OlJWyz6WqX3SJC8xWfgMS341QSRz96sA==" saltValue="UGTmADqKyoEb5BULwOIBT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90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/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45">
      <c r="A9" s="1"/>
      <c r="B9" s="34" t="s">
        <v>27</v>
      </c>
      <c r="C9" s="34"/>
      <c r="D9" s="34"/>
      <c r="E9" s="7">
        <f>'Fane 2.1. Økonomisk ramme 2021'!E17</f>
        <v>5963697.7576981876</v>
      </c>
      <c r="F9" s="34" t="s">
        <v>3</v>
      </c>
      <c r="G9" s="1"/>
    </row>
    <row r="10" spans="1:7" ht="15" customHeight="1" x14ac:dyDescent="0.4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45">
      <c r="A11" s="1"/>
      <c r="B11" s="35" t="s">
        <v>18</v>
      </c>
      <c r="C11" s="34"/>
      <c r="D11" s="34"/>
      <c r="E11" s="8">
        <f>SUM(E9:E10)*'Fane 10. Nøgletal'!C13</f>
        <v>72757.112643917892</v>
      </c>
      <c r="F11" s="34" t="s">
        <v>3</v>
      </c>
      <c r="G11" s="1"/>
    </row>
    <row r="12" spans="1:7" ht="15" customHeight="1" x14ac:dyDescent="0.45">
      <c r="A12" s="1"/>
      <c r="B12" s="35" t="s">
        <v>72</v>
      </c>
      <c r="C12" s="34"/>
      <c r="D12" s="34"/>
      <c r="E12" s="8">
        <f>-SUM(E9:E11)*'Fane 10. Nøgletal'!C18</f>
        <v>-102619.7327958158</v>
      </c>
      <c r="F12" s="34" t="s">
        <v>3</v>
      </c>
      <c r="G12" s="1"/>
    </row>
    <row r="13" spans="1:7" ht="15" customHeight="1" x14ac:dyDescent="0.45">
      <c r="A13" s="1"/>
      <c r="B13" s="38" t="s">
        <v>20</v>
      </c>
      <c r="C13" s="38"/>
      <c r="D13" s="38"/>
      <c r="E13" s="9">
        <f>SUM(E9:E12)</f>
        <v>5933835.1375462897</v>
      </c>
      <c r="F13" s="40" t="s">
        <v>3</v>
      </c>
      <c r="G13" s="1"/>
    </row>
    <row r="14" spans="1:7" x14ac:dyDescent="0.4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45">
      <c r="A15" s="1"/>
      <c r="B15" s="40" t="s">
        <v>12</v>
      </c>
      <c r="C15" s="40"/>
      <c r="D15" s="40"/>
      <c r="E15" s="9">
        <f>'Fane 4. Ikke-påvirkelige omk.'!C15*(1+'Fane 10. Nøgletal'!C13)</f>
        <v>2341887.2665120643</v>
      </c>
      <c r="F15" s="40" t="s">
        <v>3</v>
      </c>
      <c r="G15" s="1"/>
    </row>
    <row r="16" spans="1:7" ht="15" customHeight="1" x14ac:dyDescent="0.4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4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4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4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4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45">
      <c r="A21" s="1"/>
      <c r="B21" s="40" t="s">
        <v>36</v>
      </c>
      <c r="C21" s="40"/>
      <c r="D21" s="40"/>
      <c r="E21" s="9">
        <f>'Fane 5. Kontrol af ØR2019'!E41</f>
        <v>-2204346.6219260502</v>
      </c>
      <c r="F21" s="40" t="s">
        <v>3</v>
      </c>
      <c r="G21" s="1"/>
    </row>
    <row r="22" spans="1:7" x14ac:dyDescent="0.45">
      <c r="A22" s="1"/>
      <c r="B22" s="41" t="s">
        <v>125</v>
      </c>
      <c r="C22" s="40"/>
      <c r="D22" s="40"/>
      <c r="E22" s="9">
        <f>'Fane 5. Kontrol af ØR2019'!E42</f>
        <v>0</v>
      </c>
      <c r="F22" s="40" t="s">
        <v>3</v>
      </c>
      <c r="G22" s="1"/>
    </row>
    <row r="23" spans="1:7" x14ac:dyDescent="0.45">
      <c r="A23" s="1"/>
      <c r="B23" s="39" t="s">
        <v>29</v>
      </c>
      <c r="C23" s="39"/>
      <c r="D23" s="39"/>
      <c r="E23" s="10">
        <f>SUM(E13,E15,E19,E21,E22)</f>
        <v>6071375.7821323033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7Gm0HiSlo5Ay2+1e/rPswMiCtz560sgZ4rBSMlcjETM335nowF01rDGcBBZT4tohodLxWeQ3GsxrnPyfcoKrw==" saltValue="jpbK9/mHTS8b8axSOAUq2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91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 t="s">
        <v>21</v>
      </c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92</v>
      </c>
      <c r="C8" s="34"/>
      <c r="D8" s="34"/>
      <c r="E8" s="7">
        <f>'Fane 2.2. Økonomisk ramme 2022'!E13</f>
        <v>5933835.1375462897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72392.788678064739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-102105.87474581404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5904122.0514785405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omk.'!C15*(1+'Fane 10. Nøgletal'!C13)^2</f>
        <v>2370458.2911635116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57</v>
      </c>
      <c r="C19" s="39"/>
      <c r="D19" s="39"/>
      <c r="E19" s="10">
        <f>SUM(E12,E14,E18)</f>
        <v>8274580.3426420521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b+g6lm97J//ZUloJDBelFxmXqm5B5JFd4p7I9i21zG6Btfj3AZ9R4JDD6R8agoQhD488eAhGyIgT0YxFK6hZ6w==" saltValue="4bh5sLi//THh2ScFOc++h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93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 t="s">
        <v>21</v>
      </c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45">
      <c r="A8" s="1"/>
      <c r="B8" s="34" t="s">
        <v>94</v>
      </c>
      <c r="C8" s="34"/>
      <c r="D8" s="34"/>
      <c r="E8" s="7">
        <f>'Fane 2.3. Økonomisk ramme 2023'!E12</f>
        <v>5904122.0514785405</v>
      </c>
      <c r="F8" s="34" t="s">
        <v>3</v>
      </c>
      <c r="G8" s="1"/>
    </row>
    <row r="9" spans="1:7" ht="15" customHeight="1" x14ac:dyDescent="0.4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45">
      <c r="A10" s="1"/>
      <c r="B10" s="35" t="s">
        <v>18</v>
      </c>
      <c r="C10" s="34"/>
      <c r="D10" s="34"/>
      <c r="E10" s="8">
        <f>SUM(E8:E9)*'Fane 10. Nøgletal'!C13</f>
        <v>72030.289028038198</v>
      </c>
      <c r="F10" s="34" t="s">
        <v>3</v>
      </c>
      <c r="G10" s="1"/>
    </row>
    <row r="11" spans="1:7" ht="15" customHeight="1" x14ac:dyDescent="0.45">
      <c r="A11" s="1"/>
      <c r="B11" s="35" t="s">
        <v>72</v>
      </c>
      <c r="C11" s="34"/>
      <c r="D11" s="34"/>
      <c r="E11" s="8">
        <f>-SUM(E8:E10)*'Fane 10. Nøgletal'!C18</f>
        <v>-101594.58978861185</v>
      </c>
      <c r="F11" s="34" t="s">
        <v>3</v>
      </c>
      <c r="G11" s="1"/>
    </row>
    <row r="12" spans="1:7" x14ac:dyDescent="0.45">
      <c r="A12" s="1"/>
      <c r="B12" s="38" t="s">
        <v>20</v>
      </c>
      <c r="C12" s="38"/>
      <c r="D12" s="38"/>
      <c r="E12" s="9">
        <f>SUM(E8:E11)</f>
        <v>5874557.7507179668</v>
      </c>
      <c r="F12" s="40" t="s">
        <v>3</v>
      </c>
      <c r="G12" s="1"/>
    </row>
    <row r="13" spans="1:7" x14ac:dyDescent="0.4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45">
      <c r="A14" s="1"/>
      <c r="B14" s="40" t="s">
        <v>12</v>
      </c>
      <c r="C14" s="40"/>
      <c r="D14" s="40"/>
      <c r="E14" s="9">
        <f>'Fane 4. Ikke-påvirkelige omk.'!C15*(1+'Fane 10. Nøgletal'!C13)^3</f>
        <v>2399377.8823157065</v>
      </c>
      <c r="F14" s="40" t="s">
        <v>3</v>
      </c>
      <c r="G14" s="1"/>
    </row>
    <row r="15" spans="1:7" ht="15" customHeight="1" x14ac:dyDescent="0.4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4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4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4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45">
      <c r="A19" s="1"/>
      <c r="B19" s="39" t="s">
        <v>95</v>
      </c>
      <c r="C19" s="39"/>
      <c r="D19" s="39"/>
      <c r="E19" s="10">
        <f>SUM(E12,E14,E18)</f>
        <v>8273935.6330336733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bIMeERCFqKiWhZERIH+q5NVjdHRaX43hkwUjuFng2I8pm8eBwqonUDYm54vzW1vaKyGLDhS36LDMrTtUrYN2A==" saltValue="3lce40kx8ELw95AEiGSac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96</v>
      </c>
      <c r="C3" s="81"/>
      <c r="D3" s="81"/>
      <c r="E3" s="81"/>
      <c r="F3" s="81"/>
      <c r="G3" s="1"/>
    </row>
    <row r="4" spans="1:7" ht="29.2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97</v>
      </c>
      <c r="C8" s="39"/>
      <c r="D8" s="39"/>
      <c r="E8" s="39"/>
      <c r="F8" s="39"/>
      <c r="G8" s="1"/>
    </row>
    <row r="9" spans="1:7" x14ac:dyDescent="0.45">
      <c r="A9" s="1"/>
      <c r="B9" s="82" t="s">
        <v>24</v>
      </c>
      <c r="C9" s="82"/>
      <c r="D9" s="82"/>
      <c r="E9" s="7">
        <v>5986340.3205196736</v>
      </c>
      <c r="F9" s="34" t="s">
        <v>3</v>
      </c>
      <c r="G9" s="1"/>
    </row>
    <row r="10" spans="1:7" x14ac:dyDescent="0.45">
      <c r="A10" s="1"/>
      <c r="B10" s="70" t="s">
        <v>149</v>
      </c>
      <c r="C10" s="70"/>
      <c r="D10" s="70"/>
      <c r="E10" s="7">
        <v>0</v>
      </c>
      <c r="F10" s="34" t="s">
        <v>3</v>
      </c>
      <c r="G10" s="1"/>
    </row>
    <row r="11" spans="1:7" x14ac:dyDescent="0.45">
      <c r="A11" s="1"/>
      <c r="B11" s="70" t="s">
        <v>150</v>
      </c>
      <c r="C11" s="70"/>
      <c r="D11" s="70"/>
      <c r="E11" s="7">
        <v>0</v>
      </c>
      <c r="F11" s="34" t="s">
        <v>3</v>
      </c>
      <c r="G11" s="1"/>
    </row>
    <row r="12" spans="1:7" x14ac:dyDescent="0.45">
      <c r="A12" s="1"/>
      <c r="B12" s="70" t="s">
        <v>80</v>
      </c>
      <c r="C12" s="70"/>
      <c r="D12" s="70"/>
      <c r="E12" s="7">
        <v>0</v>
      </c>
      <c r="F12" s="34" t="s">
        <v>3</v>
      </c>
      <c r="G12" s="1"/>
    </row>
    <row r="13" spans="1:7" x14ac:dyDescent="0.45">
      <c r="A13" s="1"/>
      <c r="B13" s="70" t="s">
        <v>81</v>
      </c>
      <c r="C13" s="70"/>
      <c r="D13" s="70"/>
      <c r="E13" s="8">
        <v>0</v>
      </c>
      <c r="F13" s="34" t="s">
        <v>3</v>
      </c>
      <c r="G13" s="1"/>
    </row>
    <row r="14" spans="1:7" x14ac:dyDescent="0.45">
      <c r="A14" s="1"/>
      <c r="B14" s="70" t="s">
        <v>18</v>
      </c>
      <c r="C14" s="70"/>
      <c r="D14" s="70"/>
      <c r="E14" s="8">
        <f>(E9-SUM(E10:E11))*'Fane 10. Nøgletal'!C9+E10*'Fane 10. Nøgletal'!C10+E11*'Fane 10. Nøgletal'!C11+SUM(E12:E13)*'Fane 10. Nøgletal'!C12</f>
        <v>76026.522070599851</v>
      </c>
      <c r="F14" s="34" t="s">
        <v>3</v>
      </c>
      <c r="G14" s="1"/>
    </row>
    <row r="15" spans="1:7" x14ac:dyDescent="0.45">
      <c r="A15" s="1"/>
      <c r="B15" s="70" t="s">
        <v>72</v>
      </c>
      <c r="C15" s="70"/>
      <c r="D15" s="70"/>
      <c r="E15" s="8">
        <f>-SUM(E9:E9,E12:E14)*'Fane 10. Nøgletal'!C18</f>
        <v>-103060.23632403466</v>
      </c>
      <c r="F15" s="34" t="s">
        <v>3</v>
      </c>
      <c r="G15" s="1"/>
    </row>
    <row r="16" spans="1:7" x14ac:dyDescent="0.45">
      <c r="A16" s="1"/>
      <c r="B16" s="72" t="s">
        <v>20</v>
      </c>
      <c r="C16" s="72"/>
      <c r="D16" s="72"/>
      <c r="E16" s="9">
        <f>SUM(E9,E12:E15)</f>
        <v>5959306.6062662387</v>
      </c>
      <c r="F16" s="40" t="s">
        <v>3</v>
      </c>
      <c r="G16" s="1"/>
    </row>
    <row r="17" spans="1:7" x14ac:dyDescent="0.45">
      <c r="A17" s="1"/>
      <c r="B17" s="73" t="s">
        <v>12</v>
      </c>
      <c r="C17" s="73"/>
      <c r="D17" s="73"/>
      <c r="E17" s="39"/>
      <c r="F17" s="39"/>
      <c r="G17" s="1"/>
    </row>
    <row r="18" spans="1:7" x14ac:dyDescent="0.45">
      <c r="A18" s="1"/>
      <c r="B18" s="74" t="s">
        <v>12</v>
      </c>
      <c r="C18" s="74"/>
      <c r="D18" s="74"/>
      <c r="E18" s="9">
        <v>2565359.9767075502</v>
      </c>
      <c r="F18" s="40" t="s">
        <v>3</v>
      </c>
      <c r="G18" s="1"/>
    </row>
    <row r="19" spans="1:7" x14ac:dyDescent="0.4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45">
      <c r="A20" s="1"/>
      <c r="B20" s="75" t="s">
        <v>49</v>
      </c>
      <c r="C20" s="76"/>
      <c r="D20" s="77"/>
      <c r="E20" s="2">
        <v>0</v>
      </c>
      <c r="F20" s="31" t="s">
        <v>3</v>
      </c>
      <c r="G20" s="1"/>
    </row>
    <row r="21" spans="1:7" ht="15.75" customHeight="1" x14ac:dyDescent="0.45">
      <c r="A21" s="1"/>
      <c r="B21" s="75" t="s">
        <v>50</v>
      </c>
      <c r="C21" s="76"/>
      <c r="D21" s="77"/>
      <c r="E21" s="46">
        <v>0</v>
      </c>
      <c r="F21" s="31" t="s">
        <v>3</v>
      </c>
      <c r="G21" s="1"/>
    </row>
    <row r="22" spans="1:7" x14ac:dyDescent="0.45">
      <c r="A22" s="1"/>
      <c r="B22" s="78" t="s">
        <v>53</v>
      </c>
      <c r="C22" s="79"/>
      <c r="D22" s="80"/>
      <c r="E22" s="9">
        <v>0</v>
      </c>
      <c r="F22" s="9" t="s">
        <v>3</v>
      </c>
      <c r="G22" s="1"/>
    </row>
    <row r="23" spans="1:7" x14ac:dyDescent="0.4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-1347506</v>
      </c>
      <c r="F24" s="9" t="s">
        <v>3</v>
      </c>
      <c r="G24" s="1"/>
    </row>
    <row r="25" spans="1:7" x14ac:dyDescent="0.4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40" t="s">
        <v>3</v>
      </c>
      <c r="G26" s="1"/>
    </row>
    <row r="27" spans="1:7" x14ac:dyDescent="0.45">
      <c r="A27" s="1"/>
      <c r="B27" s="39" t="s">
        <v>25</v>
      </c>
      <c r="C27" s="39"/>
      <c r="D27" s="39"/>
      <c r="E27" s="10">
        <f>E16+E18+E22+E24+E26</f>
        <v>7177160.5829737894</v>
      </c>
      <c r="F27" s="11" t="s">
        <v>3</v>
      </c>
      <c r="G27" s="1"/>
    </row>
    <row r="28" spans="1:7" ht="28.5" customHeight="1" x14ac:dyDescent="0.45">
      <c r="A28" s="1"/>
      <c r="B28" s="71" t="s">
        <v>98</v>
      </c>
      <c r="C28" s="71"/>
      <c r="D28" s="71"/>
      <c r="E28" s="71"/>
      <c r="F28" s="7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Eyt+tUiN9afEymN7CgGE2ajJ7Nlxmv+u3mK+1MAW3cjXIUhEkgE7TQh0P9Z5NcYBJoNpu8QJe6bRdz8XnMuz4Q==" saltValue="uwGCG+qxJH6Ng43D7k1IE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5" t="s">
        <v>69</v>
      </c>
      <c r="C3" s="65"/>
      <c r="D3" s="65"/>
      <c r="E3" s="1"/>
      <c r="F3" s="1"/>
    </row>
    <row r="4" spans="1:6" ht="15" customHeight="1" x14ac:dyDescent="0.45">
      <c r="A4" s="1"/>
      <c r="B4" s="65"/>
      <c r="C4" s="65"/>
      <c r="D4" s="6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3" t="s">
        <v>99</v>
      </c>
      <c r="C8" s="84"/>
      <c r="D8" s="85"/>
      <c r="E8" s="1"/>
      <c r="F8" s="1"/>
    </row>
    <row r="9" spans="1:6" ht="15" customHeight="1" x14ac:dyDescent="0.45">
      <c r="A9" s="1"/>
      <c r="B9" s="17" t="s">
        <v>32</v>
      </c>
      <c r="C9" s="40" t="s">
        <v>100</v>
      </c>
      <c r="D9" s="40"/>
      <c r="E9" s="1"/>
      <c r="F9" s="1"/>
    </row>
    <row r="10" spans="1:6" x14ac:dyDescent="0.45">
      <c r="A10" s="1"/>
      <c r="B10" s="26" t="s">
        <v>154</v>
      </c>
      <c r="C10" s="8">
        <v>2189471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15794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15366</v>
      </c>
      <c r="D12" s="12" t="s">
        <v>3</v>
      </c>
      <c r="E12" s="1"/>
      <c r="F12" s="1"/>
    </row>
    <row r="13" spans="1:6" x14ac:dyDescent="0.45">
      <c r="A13" s="1"/>
      <c r="B13" s="47" t="s">
        <v>161</v>
      </c>
      <c r="C13" s="8">
        <v>37592.831579740698</v>
      </c>
      <c r="D13" s="12" t="s">
        <v>3</v>
      </c>
      <c r="E13" s="1"/>
      <c r="F13" s="1"/>
    </row>
    <row r="14" spans="1:6" x14ac:dyDescent="0.45">
      <c r="A14" s="1"/>
      <c r="B14" s="44" t="s">
        <v>101</v>
      </c>
      <c r="C14" s="10">
        <f>SUM(C9:C13)</f>
        <v>2258223.8315797406</v>
      </c>
      <c r="D14" s="11" t="s">
        <v>3</v>
      </c>
      <c r="E14" s="1"/>
      <c r="F14" s="1"/>
    </row>
    <row r="15" spans="1:6" x14ac:dyDescent="0.45">
      <c r="A15" s="1"/>
      <c r="B15" s="44" t="s">
        <v>102</v>
      </c>
      <c r="C15" s="10">
        <f>C14*(1+'Fane 10. Nøgletal'!C13)^2</f>
        <v>2313660.6071053785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dLSoePUJ5qidOLqA4fBTHUIkMKzkGfhm8/xW4R0dAZkwce3ud6dzoCZhZf2eBwwAdvdLgEkFZ0WGxT87b0AJdw==" saltValue="JVB1HmbAPDhf+rXRZ5NMV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1" t="s">
        <v>116</v>
      </c>
      <c r="C2" s="81"/>
      <c r="D2" s="81"/>
      <c r="E2" s="81"/>
      <c r="F2" s="81"/>
      <c r="G2" s="1"/>
    </row>
    <row r="3" spans="1:7" ht="15" customHeight="1" x14ac:dyDescent="0.45">
      <c r="A3" s="1"/>
      <c r="B3" s="81"/>
      <c r="C3" s="81"/>
      <c r="D3" s="81"/>
      <c r="E3" s="81"/>
      <c r="F3" s="81"/>
      <c r="G3" s="1"/>
    </row>
    <row r="4" spans="1:7" ht="15" customHeight="1" x14ac:dyDescent="0.45">
      <c r="A4" s="1"/>
      <c r="B4" s="33"/>
      <c r="C4" s="33"/>
      <c r="D4" s="33"/>
      <c r="E4" s="33"/>
      <c r="F4" s="33"/>
      <c r="G4" s="1"/>
    </row>
    <row r="5" spans="1:7" ht="15" customHeight="1" x14ac:dyDescent="0.45">
      <c r="A5" s="1"/>
      <c r="B5" s="86" t="s">
        <v>36</v>
      </c>
      <c r="C5" s="86"/>
      <c r="D5" s="86"/>
      <c r="E5" s="86"/>
      <c r="F5" s="86"/>
      <c r="G5" s="1"/>
    </row>
    <row r="6" spans="1:7" ht="15" customHeight="1" x14ac:dyDescent="0.45">
      <c r="A6" s="1"/>
      <c r="B6" s="87" t="s">
        <v>34</v>
      </c>
      <c r="C6" s="87"/>
      <c r="D6" s="87"/>
      <c r="E6" s="8">
        <v>-456046.68</v>
      </c>
      <c r="F6" s="12" t="s">
        <v>3</v>
      </c>
      <c r="G6" s="1"/>
    </row>
    <row r="7" spans="1:7" ht="15" customHeight="1" x14ac:dyDescent="0.45">
      <c r="A7" s="1"/>
      <c r="B7" s="87" t="s">
        <v>35</v>
      </c>
      <c r="C7" s="87"/>
      <c r="D7" s="87"/>
      <c r="E7" s="8">
        <v>-3952646.5638521006</v>
      </c>
      <c r="F7" s="12" t="s">
        <v>3</v>
      </c>
      <c r="G7" s="1"/>
    </row>
    <row r="8" spans="1:7" ht="15" customHeight="1" x14ac:dyDescent="0.45">
      <c r="A8" s="1"/>
      <c r="B8" s="78" t="s">
        <v>76</v>
      </c>
      <c r="C8" s="79"/>
      <c r="D8" s="80"/>
      <c r="E8" s="9">
        <f>SUM(E6:E7)</f>
        <v>-4408693.2438521003</v>
      </c>
      <c r="F8" s="15" t="s">
        <v>3</v>
      </c>
      <c r="G8" s="1"/>
    </row>
    <row r="9" spans="1:7" ht="15" customHeight="1" x14ac:dyDescent="0.45">
      <c r="A9" s="1"/>
      <c r="B9" s="83"/>
      <c r="C9" s="84"/>
      <c r="D9" s="84"/>
      <c r="E9" s="84"/>
      <c r="F9" s="85"/>
      <c r="G9" s="1"/>
    </row>
    <row r="10" spans="1:7" ht="27" customHeight="1" x14ac:dyDescent="0.45">
      <c r="A10" s="1"/>
      <c r="B10" s="71" t="s">
        <v>71</v>
      </c>
      <c r="C10" s="71"/>
      <c r="D10" s="71"/>
      <c r="E10" s="71"/>
      <c r="F10" s="71"/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6" t="s">
        <v>62</v>
      </c>
      <c r="C13" s="86"/>
      <c r="D13" s="86"/>
      <c r="E13" s="86"/>
      <c r="F13" s="86"/>
      <c r="G13" s="1"/>
    </row>
    <row r="14" spans="1:7" x14ac:dyDescent="0.45">
      <c r="A14" s="1"/>
      <c r="B14" s="87" t="s">
        <v>63</v>
      </c>
      <c r="C14" s="87"/>
      <c r="D14" s="87"/>
      <c r="E14" s="8">
        <v>4918300.3062415337</v>
      </c>
      <c r="F14" s="12" t="s">
        <v>3</v>
      </c>
      <c r="G14" s="1"/>
    </row>
    <row r="15" spans="1:7" x14ac:dyDescent="0.45">
      <c r="A15" s="1"/>
      <c r="B15" s="87" t="s">
        <v>64</v>
      </c>
      <c r="C15" s="87"/>
      <c r="D15" s="87"/>
      <c r="E15" s="8">
        <v>5595978</v>
      </c>
      <c r="F15" s="12" t="s">
        <v>3</v>
      </c>
      <c r="G15" s="1"/>
    </row>
    <row r="16" spans="1:7" x14ac:dyDescent="0.45">
      <c r="A16" s="1"/>
      <c r="B16" s="87" t="s">
        <v>33</v>
      </c>
      <c r="C16" s="87"/>
      <c r="D16" s="87"/>
      <c r="E16" s="8">
        <v>0</v>
      </c>
      <c r="F16" s="12" t="s">
        <v>3</v>
      </c>
      <c r="G16" s="1"/>
    </row>
    <row r="17" spans="1:7" x14ac:dyDescent="0.45">
      <c r="A17" s="1"/>
      <c r="B17" s="88" t="s">
        <v>136</v>
      </c>
      <c r="C17" s="88"/>
      <c r="D17" s="88"/>
      <c r="E17" s="9">
        <f>E14-(E15-E16)</f>
        <v>-677677.69375846628</v>
      </c>
      <c r="F17" s="15" t="s">
        <v>3</v>
      </c>
      <c r="G17" s="1"/>
    </row>
    <row r="18" spans="1:7" x14ac:dyDescent="0.45">
      <c r="A18" s="1"/>
      <c r="B18" s="89"/>
      <c r="C18" s="90"/>
      <c r="D18" s="90"/>
      <c r="E18" s="90"/>
      <c r="F18" s="91"/>
      <c r="G18" s="1"/>
    </row>
    <row r="19" spans="1:7" ht="28.5" customHeight="1" x14ac:dyDescent="0.45">
      <c r="A19" s="1"/>
      <c r="B19" s="71" t="s">
        <v>70</v>
      </c>
      <c r="C19" s="71"/>
      <c r="D19" s="71"/>
      <c r="E19" s="71"/>
      <c r="F19" s="71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ht="15" customHeight="1" x14ac:dyDescent="0.45">
      <c r="A21" s="1"/>
      <c r="B21" s="86" t="s">
        <v>44</v>
      </c>
      <c r="C21" s="86"/>
      <c r="D21" s="86"/>
      <c r="E21" s="86"/>
      <c r="F21" s="86"/>
      <c r="G21" s="1"/>
    </row>
    <row r="22" spans="1:7" ht="15" customHeight="1" x14ac:dyDescent="0.45">
      <c r="A22" s="1"/>
      <c r="B22" s="87" t="s">
        <v>45</v>
      </c>
      <c r="C22" s="87"/>
      <c r="D22" s="87"/>
      <c r="E22" s="8">
        <v>6771439.8419711376</v>
      </c>
      <c r="F22" s="12" t="s">
        <v>3</v>
      </c>
      <c r="G22" s="1"/>
    </row>
    <row r="23" spans="1:7" ht="15" customHeight="1" x14ac:dyDescent="0.45">
      <c r="A23" s="1"/>
      <c r="B23" s="87" t="s">
        <v>46</v>
      </c>
      <c r="C23" s="87"/>
      <c r="D23" s="87"/>
      <c r="E23" s="8">
        <v>5409927</v>
      </c>
      <c r="F23" s="12" t="s">
        <v>3</v>
      </c>
      <c r="G23" s="1"/>
    </row>
    <row r="24" spans="1:7" ht="15" customHeight="1" x14ac:dyDescent="0.45">
      <c r="A24" s="1"/>
      <c r="B24" s="87" t="s">
        <v>33</v>
      </c>
      <c r="C24" s="87"/>
      <c r="D24" s="87"/>
      <c r="E24" s="8">
        <v>0</v>
      </c>
      <c r="F24" s="12" t="s">
        <v>3</v>
      </c>
      <c r="G24" s="1"/>
    </row>
    <row r="25" spans="1:7" x14ac:dyDescent="0.45">
      <c r="A25" s="1"/>
      <c r="B25" s="88" t="s">
        <v>137</v>
      </c>
      <c r="C25" s="88"/>
      <c r="D25" s="88"/>
      <c r="E25" s="9">
        <f>E22-(E23-E24)</f>
        <v>1361512.8419711376</v>
      </c>
      <c r="F25" s="15" t="s">
        <v>3</v>
      </c>
      <c r="G25" s="1"/>
    </row>
    <row r="26" spans="1:7" x14ac:dyDescent="0.45">
      <c r="A26" s="1"/>
      <c r="B26" s="83"/>
      <c r="C26" s="84"/>
      <c r="D26" s="84"/>
      <c r="E26" s="84"/>
      <c r="F26" s="85"/>
      <c r="G26" s="1"/>
    </row>
    <row r="27" spans="1:7" ht="28.5" customHeight="1" x14ac:dyDescent="0.45">
      <c r="A27" s="1"/>
      <c r="B27" s="71" t="s">
        <v>126</v>
      </c>
      <c r="C27" s="71"/>
      <c r="D27" s="71"/>
      <c r="E27" s="71"/>
      <c r="F27" s="71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6" t="s">
        <v>127</v>
      </c>
      <c r="C29" s="86"/>
      <c r="D29" s="86"/>
      <c r="E29" s="86"/>
      <c r="F29" s="86"/>
      <c r="G29" s="1"/>
    </row>
    <row r="30" spans="1:7" x14ac:dyDescent="0.45">
      <c r="A30" s="1"/>
      <c r="B30" s="87" t="s">
        <v>128</v>
      </c>
      <c r="C30" s="87"/>
      <c r="D30" s="87"/>
      <c r="E30" s="8">
        <v>6904171.2749948297</v>
      </c>
      <c r="F30" s="12" t="s">
        <v>3</v>
      </c>
      <c r="G30" s="1"/>
    </row>
    <row r="31" spans="1:7" x14ac:dyDescent="0.45">
      <c r="A31" s="1"/>
      <c r="B31" s="87" t="s">
        <v>129</v>
      </c>
      <c r="C31" s="87"/>
      <c r="D31" s="87"/>
      <c r="E31" s="8">
        <v>5586799</v>
      </c>
      <c r="F31" s="12" t="s">
        <v>3</v>
      </c>
      <c r="G31" s="1"/>
    </row>
    <row r="32" spans="1:7" x14ac:dyDescent="0.45">
      <c r="A32" s="1"/>
      <c r="B32" s="87" t="s">
        <v>33</v>
      </c>
      <c r="C32" s="87"/>
      <c r="D32" s="87"/>
      <c r="E32" s="8">
        <v>0</v>
      </c>
      <c r="F32" s="12" t="s">
        <v>3</v>
      </c>
      <c r="G32" s="1"/>
    </row>
    <row r="33" spans="1:7" x14ac:dyDescent="0.45">
      <c r="A33" s="1"/>
      <c r="B33" s="88" t="s">
        <v>138</v>
      </c>
      <c r="C33" s="88"/>
      <c r="D33" s="88"/>
      <c r="E33" s="9">
        <f>E30-(E31-E32)</f>
        <v>1317372.2749948297</v>
      </c>
      <c r="F33" s="15" t="s">
        <v>3</v>
      </c>
      <c r="G33" s="1"/>
    </row>
    <row r="34" spans="1:7" x14ac:dyDescent="0.45">
      <c r="A34" s="1"/>
      <c r="B34" s="83"/>
      <c r="C34" s="84"/>
      <c r="D34" s="84"/>
      <c r="E34" s="84"/>
      <c r="F34" s="85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86" t="s">
        <v>130</v>
      </c>
      <c r="C37" s="86"/>
      <c r="D37" s="86"/>
      <c r="E37" s="86"/>
      <c r="F37" s="86"/>
      <c r="G37" s="1"/>
    </row>
    <row r="38" spans="1:7" x14ac:dyDescent="0.45">
      <c r="A38" s="1"/>
      <c r="B38" s="92" t="s">
        <v>36</v>
      </c>
      <c r="C38" s="92"/>
      <c r="D38" s="92"/>
      <c r="E38" s="8">
        <f>E8</f>
        <v>-4408693.2438521003</v>
      </c>
      <c r="F38" s="12" t="s">
        <v>3</v>
      </c>
      <c r="G38" s="1"/>
    </row>
    <row r="39" spans="1:7" x14ac:dyDescent="0.45">
      <c r="A39" s="1"/>
      <c r="B39" s="92" t="s">
        <v>135</v>
      </c>
      <c r="C39" s="92"/>
      <c r="D39" s="92"/>
      <c r="E39" s="8">
        <f>IF(E17+E25+E33&lt;0,E17+E25+E33,0)</f>
        <v>0</v>
      </c>
      <c r="F39" s="12" t="s">
        <v>3</v>
      </c>
      <c r="G39" s="1"/>
    </row>
    <row r="40" spans="1:7" x14ac:dyDescent="0.45">
      <c r="A40" s="1"/>
      <c r="B40" s="92" t="s">
        <v>73</v>
      </c>
      <c r="C40" s="92"/>
      <c r="D40" s="92"/>
      <c r="E40" s="8">
        <v>2</v>
      </c>
      <c r="F40" s="12" t="s">
        <v>19</v>
      </c>
      <c r="G40" s="1"/>
    </row>
    <row r="41" spans="1:7" x14ac:dyDescent="0.45">
      <c r="A41" s="1"/>
      <c r="B41" s="88" t="s">
        <v>133</v>
      </c>
      <c r="C41" s="88"/>
      <c r="D41" s="88"/>
      <c r="E41" s="9">
        <f>SUM(E38)/E40</f>
        <v>-2204346.6219260502</v>
      </c>
      <c r="F41" s="15" t="s">
        <v>3</v>
      </c>
      <c r="G41" s="1"/>
    </row>
    <row r="42" spans="1:7" x14ac:dyDescent="0.45">
      <c r="A42" s="1"/>
      <c r="B42" s="88" t="s">
        <v>134</v>
      </c>
      <c r="C42" s="88"/>
      <c r="D42" s="88"/>
      <c r="E42" s="9">
        <f>E39/E40</f>
        <v>0</v>
      </c>
      <c r="F42" s="15" t="s">
        <v>3</v>
      </c>
      <c r="G42" s="1"/>
    </row>
    <row r="43" spans="1:7" x14ac:dyDescent="0.45">
      <c r="A43" s="1"/>
      <c r="B43" s="86"/>
      <c r="C43" s="86"/>
      <c r="D43" s="86"/>
      <c r="E43" s="86"/>
      <c r="F43" s="86"/>
      <c r="G43" s="1"/>
    </row>
    <row r="45" spans="1:7" x14ac:dyDescent="0.45">
      <c r="A45" s="30"/>
      <c r="B45" s="30"/>
      <c r="C45" s="30"/>
      <c r="D45" s="30"/>
      <c r="E45" s="30"/>
      <c r="F45" s="30"/>
      <c r="G45" s="30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</sheetData>
  <sheetProtection algorithmName="SHA-512" hashValue="Dt6pQyv+tP+6ROHPwhsE4OrQ8v6lIJUsAgZSLB+zeAcRFiwsAVV5pTRDppne8KYJr9DNgReO2EyYT4VD4YafRg==" saltValue="jYs6hvhcJjcMjf/BktPW0w==" spinCount="100000" sheet="1" objects="1" scenarios="1"/>
  <mergeCells count="34">
    <mergeCell ref="B43:F43"/>
    <mergeCell ref="B42:D42"/>
    <mergeCell ref="B37:F37"/>
    <mergeCell ref="B39:D39"/>
    <mergeCell ref="B40:D40"/>
    <mergeCell ref="B41:D41"/>
    <mergeCell ref="B38:D38"/>
    <mergeCell ref="B8:D8"/>
    <mergeCell ref="B33:D33"/>
    <mergeCell ref="B34:F34"/>
    <mergeCell ref="B9:F9"/>
    <mergeCell ref="B18:F18"/>
    <mergeCell ref="B21:F21"/>
    <mergeCell ref="B22:D22"/>
    <mergeCell ref="B23:D23"/>
    <mergeCell ref="B31:D31"/>
    <mergeCell ref="B32:D32"/>
    <mergeCell ref="B24:D24"/>
    <mergeCell ref="B2:F3"/>
    <mergeCell ref="B29:F29"/>
    <mergeCell ref="B30:D30"/>
    <mergeCell ref="B10:F10"/>
    <mergeCell ref="B5:F5"/>
    <mergeCell ref="B6:D6"/>
    <mergeCell ref="B26:F26"/>
    <mergeCell ref="B27:F27"/>
    <mergeCell ref="B13:F13"/>
    <mergeCell ref="B14:D14"/>
    <mergeCell ref="B15:D15"/>
    <mergeCell ref="B19:F19"/>
    <mergeCell ref="B16:D16"/>
    <mergeCell ref="B17:D17"/>
    <mergeCell ref="B7:D7"/>
    <mergeCell ref="B25:D25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5" t="s">
        <v>139</v>
      </c>
      <c r="C3" s="65"/>
      <c r="D3" s="65"/>
      <c r="E3" s="65"/>
      <c r="F3" s="65"/>
      <c r="G3" s="65"/>
      <c r="H3" s="65"/>
      <c r="I3" s="1"/>
    </row>
    <row r="4" spans="1:9" ht="15" customHeight="1" x14ac:dyDescent="0.45">
      <c r="A4" s="1"/>
      <c r="B4" s="65"/>
      <c r="C4" s="65"/>
      <c r="D4" s="65"/>
      <c r="E4" s="65"/>
      <c r="F4" s="65"/>
      <c r="G4" s="65"/>
      <c r="H4" s="6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3" t="s">
        <v>117</v>
      </c>
      <c r="C8" s="84"/>
      <c r="D8" s="84"/>
      <c r="E8" s="84"/>
      <c r="F8" s="84"/>
      <c r="G8" s="84"/>
      <c r="H8" s="85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45">
      <c r="A10" s="1"/>
      <c r="B10" s="48" t="s">
        <v>157</v>
      </c>
      <c r="C10" s="49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3" t="s">
        <v>118</v>
      </c>
      <c r="C11" s="84"/>
      <c r="D11" s="85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bsrs7s7WDD1x0fJsu5ikkf6/nqUI2MmNOBqtV6QdU/6avO5DVmodnj1RpntXTTH+l4fSxUItzk895hxV/0e1w==" saltValue="bQspydsi4QcUqF8THwiTO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2020-10-19T07:21:10Z</dcterms:modified>
</cp:coreProperties>
</file>