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REFOR Vand AS (V18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4" i="19" l="1"/>
  <c r="E33" i="32" l="1"/>
  <c r="E39" i="32" s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5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<sst xmlns="http://schemas.openxmlformats.org/spreadsheetml/2006/main" count="590" uniqueCount="247">
  <si>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</si>
  <si>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</si>
  <si>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</si>
  <si>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</si>
  <si>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</si>
  <si>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</si>
  <si>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</si>
  <si>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</si>
  <si>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</si>
  <si>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</si>
  <si>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</si>
  <si>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</si>
  <si>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</si>
  <si>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</si>
  <si>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</si>
  <si>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</si>
  <si>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</si>
  <si>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</si>
  <si>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</si>
  <si>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</si>
  <si>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</si>
  <si>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</si>
  <si>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</si>
  <si>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</si>
  <si>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</si>
  <si>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</si>
  <si>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</si>
  <si>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</si>
  <si>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</si>
  <si>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</si>
  <si>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</si>
  <si>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</si>
  <si>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</si>
  <si>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</si>
  <si>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</si>
  <si>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</si>
  <si>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</si>
  <si>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</si>
  <si>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</si>
  <si>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</si>
  <si>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</si>
  <si>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</si>
  <si>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</si>
  <si>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</si>
  <si>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</si>
  <si>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</si>
  <si>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</si>
  <si>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</si>
  <si>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</si>
  <si>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</si>
  <si>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</si>
  <si>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</si>
  <si>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</si>
  <si>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</si>
  <si>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</si>
  <si>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</si>
  <si>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</si>
  <si>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</si>
  <si>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</si>
  <si>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</si>
  <si>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</si>
  <si>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</si>
  <si>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</si>
  <si>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</si>
  <si>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</si>
  <si>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</si>
  <si>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</si>
  <si>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</si>
  <si>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</si>
  <si>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</si>
  <si>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</si>
  <si>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</si>
  <si>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</si>
  <si>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</si>
  <si>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</si>
  <si>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</si>
  <si>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</si>
  <si>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</si>
  <si>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</si>
  <si>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</si>
  <si>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</si>
  <si>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</si>
  <si>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</si>
  <si>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</si>
  <si>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</si>
  <si>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</si>
  <si>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</si>
  <si>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</si>
  <si>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</si>
  <si>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</si>
  <si>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</si>
  <si>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</si>
  <si>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</si>
  <si>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</si>
  <si>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</si>
  <si>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</si>
  <si>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</si>
  <si>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</si>
  <si>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</si>
  <si>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</si>
  <si>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</si>
  <si>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</si>
  <si>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</si>
  <si>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</si>
  <si>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</si>
  <si>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</si>
  <si>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</si>
  <si>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</si>
  <si>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</si>
  <si>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</si>
  <si>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</si>
  <si>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</si>
  <si>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</si>
  <si>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</si>
  <si>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</si>
  <si>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</si>
  <si>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</si>
  <si>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</si>
  <si>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</si>
  <si>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</si>
  <si>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</si>
  <si>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</si>
  <si>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</si>
  <si>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</si>
  <si>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</si>
  <si>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</si>
  <si>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</si>
  <si>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</si>
  <si>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</si>
  <si>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</si>
  <si>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</si>
  <si>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</si>
  <si>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</si>
  <si>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</si>
  <si>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</si>
  <si>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</si>
  <si>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</si>
  <si>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</si>
  <si>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</si>
  <si>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</si>
  <si>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</si>
  <si>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</si>
  <si>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</si>
  <si>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</si>
  <si>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</si>
  <si>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</si>
  <si>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</si>
  <si>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</si>
  <si>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</si>
  <si>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</si>
  <si>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</si>
  <si>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</si>
  <si>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</si>
  <si>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</si>
  <si>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</si>
  <si>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</si>
  <si>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</si>
  <si>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</si>
  <si>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</si>
  <si>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</si>
  <si>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</si>
  <si>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</si>
  <si>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</si>
  <si>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</si>
  <si>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</si>
  <si>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</si>
  <si>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</si>
  <si>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</si>
  <si>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</si>
  <si>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</si>
  <si>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</si>
  <si>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</si>
  <si>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</si>
  <si>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</si>
  <si>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</si>
  <si>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</si>
  <si>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</si>
  <si>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</si>
  <si>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</si>
  <si>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</si>
  <si>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</si>
  <si>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</si>
  <si>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</si>
  <si>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</si>
  <si>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</si>
  <si>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</si>
  <si>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</si>
  <si>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</si>
  <si>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</si>
  <si>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</si>
  <si>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</si>
  <si>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</si>
  <si>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</si>
  <si>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</si>
  <si>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</si>
  <si>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</si>
  <si>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</si>
  <si>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</si>
  <si>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</si>
  <si>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</si>
  <si>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</si>
  <si>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</si>
  <si>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</si>
  <si>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</si>
  <si>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</si>
  <si>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</si>
  <si>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</si>
  <si>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</si>
  <si>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</si>
  <si>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</si>
  <si>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</si>
  <si>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</si>
  <si>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</si>
  <si>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</si>
  <si>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</si>
  <si>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</si>
  <si>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</si>
  <si>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</si>
  <si>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</si>
  <si>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</si>
  <si>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</si>
  <si>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</si>
  <si>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</si>
  <si>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</si>
  <si>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</si>
  <si>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</si>
  <si>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</si>
  <si>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</si>
  <si>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</si>
  <si>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</si>
  <si>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</si>
  <si>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</si>
  <si>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</si>
  <si>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</si>
  <si>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</si>
  <si>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</si>
  <si>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</si>
  <si>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</si>
  <si>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Ingen tilknyttet virksomhed</t>
  </si>
  <si>
    <t>Ingen bortfald eller nedsættelse</t>
  </si>
  <si>
    <t xml:space="preserve">Udvidelse af forsyningsområde </t>
  </si>
  <si>
    <t xml:space="preserve">Ingen engangstillæg </t>
  </si>
  <si>
    <t>Økonomisk ramme for 2024</t>
  </si>
  <si>
    <t>Ø 50mm &lt; Ledningsnet ≤ Ø110 mm</t>
  </si>
  <si>
    <t>75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</si>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</sst>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3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2" t="s">
        <v>234</v>
      </c>
      <c r="C10" s="9">
        <v>70663238</v>
      </c>
      <c r="D10" s="14" t="s">
        <v>3</v>
      </c>
      <c r="E10" s="1"/>
      <c r="F10" s="1"/>
    </row>
    <row r="11" spans="1:6" x14ac:dyDescent="0.25">
      <c r="A11" s="1"/>
      <c r="B11" s="52" t="s">
        <v>235</v>
      </c>
      <c r="C11" s="9">
        <v>271177</v>
      </c>
      <c r="D11" s="14" t="s">
        <v>3</v>
      </c>
      <c r="E11" s="1"/>
      <c r="F11" s="1"/>
    </row>
    <row r="12" spans="1:6" x14ac:dyDescent="0.25">
      <c r="A12" s="1"/>
      <c r="B12" s="52" t="s">
        <v>236</v>
      </c>
      <c r="C12" s="9">
        <v>231372</v>
      </c>
      <c r="D12" s="14" t="s">
        <v>3</v>
      </c>
      <c r="E12" s="1"/>
      <c r="F12" s="1"/>
    </row>
    <row r="13" spans="1:6" x14ac:dyDescent="0.25">
      <c r="A13" s="1"/>
      <c r="B13" s="52" t="s">
        <v>237</v>
      </c>
      <c r="C13" s="9">
        <v>896345</v>
      </c>
      <c r="D13" s="14" t="s">
        <v>3</v>
      </c>
      <c r="E13" s="1"/>
      <c r="F13" s="1"/>
    </row>
    <row r="14" spans="1:6" x14ac:dyDescent="0.25">
      <c r="A14" s="1"/>
      <c r="B14" s="48" t="s">
        <v>169</v>
      </c>
      <c r="C14" s="12">
        <f>SUM(C10:C13)</f>
        <v>72062132</v>
      </c>
      <c r="D14" s="13" t="s">
        <v>3</v>
      </c>
      <c r="E14" s="1"/>
      <c r="F14" s="1"/>
    </row>
    <row r="15" spans="1:6" x14ac:dyDescent="0.25">
      <c r="A15" s="1"/>
      <c r="B15" s="48" t="s">
        <v>170</v>
      </c>
      <c r="C15" s="12">
        <f>C14*(1+'Fane 12. Nøgletal'!C13)^2</f>
        <v>73831173.748526886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172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96" t="s">
        <v>39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37</v>
      </c>
      <c r="C7" s="100"/>
      <c r="D7" s="101"/>
      <c r="E7" s="9">
        <v>-2725192.4233333338</v>
      </c>
      <c r="F7" s="14" t="s">
        <v>3</v>
      </c>
      <c r="G7" s="1"/>
    </row>
    <row r="8" spans="1:7" ht="15" customHeight="1" x14ac:dyDescent="0.25">
      <c r="A8" s="1"/>
      <c r="B8" s="99" t="s">
        <v>38</v>
      </c>
      <c r="C8" s="100"/>
      <c r="D8" s="101"/>
      <c r="E8" s="9">
        <v>38756021.149551511</v>
      </c>
      <c r="F8" s="14" t="s">
        <v>3</v>
      </c>
      <c r="G8" s="1"/>
    </row>
    <row r="9" spans="1:7" ht="15" customHeight="1" x14ac:dyDescent="0.25">
      <c r="A9" s="1"/>
      <c r="B9" s="107" t="s">
        <v>131</v>
      </c>
      <c r="C9" s="108"/>
      <c r="D9" s="109"/>
      <c r="E9" s="10">
        <f>SUM(E7:E8)</f>
        <v>36030828.726218179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0"/>
      <c r="G10" s="1"/>
    </row>
    <row r="11" spans="1:7" ht="28.5" customHeight="1" x14ac:dyDescent="0.25">
      <c r="A11" s="1"/>
      <c r="B11" s="87" t="s">
        <v>132</v>
      </c>
      <c r="C11" s="88"/>
      <c r="D11" s="88"/>
      <c r="E11" s="88"/>
      <c r="F11" s="89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6" t="s">
        <v>116</v>
      </c>
      <c r="C13" s="97"/>
      <c r="D13" s="97"/>
      <c r="E13" s="97"/>
      <c r="F13" s="98"/>
      <c r="G13" s="1"/>
    </row>
    <row r="14" spans="1:7" x14ac:dyDescent="0.25">
      <c r="A14" s="1"/>
      <c r="B14" s="99" t="s">
        <v>117</v>
      </c>
      <c r="C14" s="100"/>
      <c r="D14" s="101"/>
      <c r="E14" s="9">
        <v>274880034.05549437</v>
      </c>
      <c r="F14" s="14" t="s">
        <v>3</v>
      </c>
      <c r="G14" s="1"/>
    </row>
    <row r="15" spans="1:7" x14ac:dyDescent="0.25">
      <c r="A15" s="1"/>
      <c r="B15" s="99" t="s">
        <v>118</v>
      </c>
      <c r="C15" s="100"/>
      <c r="D15" s="101"/>
      <c r="E15" s="9">
        <v>212936386</v>
      </c>
      <c r="F15" s="14" t="s">
        <v>3</v>
      </c>
      <c r="G15" s="1"/>
    </row>
    <row r="16" spans="1:7" x14ac:dyDescent="0.25">
      <c r="A16" s="1"/>
      <c r="B16" s="99" t="s">
        <v>36</v>
      </c>
      <c r="C16" s="100"/>
      <c r="D16" s="101"/>
      <c r="E16" s="9">
        <v>0</v>
      </c>
      <c r="F16" s="14" t="s">
        <v>3</v>
      </c>
      <c r="G16" s="1"/>
    </row>
    <row r="17" spans="1:7" x14ac:dyDescent="0.25">
      <c r="A17" s="1"/>
      <c r="B17" s="107" t="s">
        <v>208</v>
      </c>
      <c r="C17" s="108"/>
      <c r="D17" s="109"/>
      <c r="E17" s="10">
        <f>E14-(E15-E16)</f>
        <v>61943648.055494368</v>
      </c>
      <c r="F17" s="17" t="s">
        <v>3</v>
      </c>
      <c r="G17" s="1"/>
    </row>
    <row r="18" spans="1:7" x14ac:dyDescent="0.25">
      <c r="A18" s="1"/>
      <c r="B18" s="48"/>
      <c r="C18" s="49"/>
      <c r="D18" s="49"/>
      <c r="E18" s="49"/>
      <c r="F18" s="20"/>
      <c r="G18" s="1"/>
    </row>
    <row r="19" spans="1:7" ht="30" customHeight="1" x14ac:dyDescent="0.25">
      <c r="A19" s="1"/>
      <c r="B19" s="87" t="s">
        <v>133</v>
      </c>
      <c r="C19" s="88"/>
      <c r="D19" s="88"/>
      <c r="E19" s="88"/>
      <c r="F19" s="89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6" t="s">
        <v>50</v>
      </c>
      <c r="C21" s="97"/>
      <c r="D21" s="97"/>
      <c r="E21" s="97"/>
      <c r="F21" s="98"/>
      <c r="G21" s="1"/>
    </row>
    <row r="22" spans="1:7" x14ac:dyDescent="0.25">
      <c r="A22" s="1"/>
      <c r="B22" s="99" t="s">
        <v>51</v>
      </c>
      <c r="C22" s="100"/>
      <c r="D22" s="101"/>
      <c r="E22" s="9">
        <v>233471988.67120466</v>
      </c>
      <c r="F22" s="14" t="s">
        <v>3</v>
      </c>
      <c r="G22" s="1"/>
    </row>
    <row r="23" spans="1:7" x14ac:dyDescent="0.25">
      <c r="A23" s="1"/>
      <c r="B23" s="99" t="s">
        <v>52</v>
      </c>
      <c r="C23" s="100"/>
      <c r="D23" s="101"/>
      <c r="E23" s="9">
        <v>220772576</v>
      </c>
      <c r="F23" s="14" t="s">
        <v>3</v>
      </c>
      <c r="G23" s="1"/>
    </row>
    <row r="24" spans="1:7" x14ac:dyDescent="0.25">
      <c r="A24" s="1"/>
      <c r="B24" s="99" t="s">
        <v>36</v>
      </c>
      <c r="C24" s="100"/>
      <c r="D24" s="101"/>
      <c r="E24" s="9">
        <v>0</v>
      </c>
      <c r="F24" s="14" t="s">
        <v>3</v>
      </c>
      <c r="G24" s="1"/>
    </row>
    <row r="25" spans="1:7" x14ac:dyDescent="0.25">
      <c r="A25" s="1"/>
      <c r="B25" s="107" t="s">
        <v>209</v>
      </c>
      <c r="C25" s="108"/>
      <c r="D25" s="109"/>
      <c r="E25" s="10">
        <f>E22-(E23-E24)</f>
        <v>12699412.671204656</v>
      </c>
      <c r="F25" s="17" t="s">
        <v>3</v>
      </c>
      <c r="G25" s="1"/>
    </row>
    <row r="26" spans="1:7" x14ac:dyDescent="0.25">
      <c r="A26" s="1"/>
      <c r="B26" s="48"/>
      <c r="C26" s="49"/>
      <c r="D26" s="49"/>
      <c r="E26" s="49"/>
      <c r="F26" s="20"/>
      <c r="G26" s="1"/>
    </row>
    <row r="27" spans="1:7" ht="28.5" customHeight="1" x14ac:dyDescent="0.25">
      <c r="A27" s="1"/>
      <c r="B27" s="87" t="s">
        <v>179</v>
      </c>
      <c r="C27" s="88"/>
      <c r="D27" s="88"/>
      <c r="E27" s="88"/>
      <c r="F27" s="89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200</v>
      </c>
      <c r="C29" s="97"/>
      <c r="D29" s="97"/>
      <c r="E29" s="97"/>
      <c r="F29" s="98"/>
      <c r="G29" s="1"/>
    </row>
    <row r="30" spans="1:7" x14ac:dyDescent="0.25">
      <c r="A30" s="1"/>
      <c r="B30" s="99" t="s">
        <v>201</v>
      </c>
      <c r="C30" s="100"/>
      <c r="D30" s="101"/>
      <c r="E30" s="9">
        <v>254882249.58456343</v>
      </c>
      <c r="F30" s="14" t="s">
        <v>3</v>
      </c>
      <c r="G30" s="1"/>
    </row>
    <row r="31" spans="1:7" x14ac:dyDescent="0.25">
      <c r="A31" s="1"/>
      <c r="B31" s="99" t="s">
        <v>202</v>
      </c>
      <c r="C31" s="100"/>
      <c r="D31" s="101"/>
      <c r="E31" s="9">
        <v>238297799</v>
      </c>
      <c r="F31" s="14" t="s">
        <v>3</v>
      </c>
      <c r="G31" s="1"/>
    </row>
    <row r="32" spans="1:7" x14ac:dyDescent="0.25">
      <c r="A32" s="1"/>
      <c r="B32" s="99" t="s">
        <v>36</v>
      </c>
      <c r="C32" s="100"/>
      <c r="D32" s="101"/>
      <c r="E32" s="9">
        <v>0</v>
      </c>
      <c r="F32" s="14" t="s">
        <v>3</v>
      </c>
      <c r="G32" s="1"/>
    </row>
    <row r="33" spans="1:7" x14ac:dyDescent="0.25">
      <c r="A33" s="1"/>
      <c r="B33" s="107" t="s">
        <v>210</v>
      </c>
      <c r="C33" s="108"/>
      <c r="D33" s="109"/>
      <c r="E33" s="10">
        <f>E30-(E31-E32)</f>
        <v>16584450.584563434</v>
      </c>
      <c r="F33" s="17" t="s">
        <v>3</v>
      </c>
      <c r="G33" s="1"/>
    </row>
    <row r="34" spans="1:7" x14ac:dyDescent="0.25">
      <c r="A34" s="1"/>
      <c r="B34" s="48"/>
      <c r="C34" s="49"/>
      <c r="D34" s="49"/>
      <c r="E34" s="49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125</v>
      </c>
      <c r="C36" s="97"/>
      <c r="D36" s="97"/>
      <c r="E36" s="97"/>
      <c r="F36" s="98"/>
      <c r="G36" s="1"/>
    </row>
    <row r="37" spans="1:7" x14ac:dyDescent="0.25">
      <c r="A37" s="1"/>
      <c r="B37" s="110" t="s">
        <v>245</v>
      </c>
      <c r="C37" s="111"/>
      <c r="D37" s="112"/>
      <c r="E37" s="9">
        <v>1</v>
      </c>
      <c r="F37" s="14"/>
      <c r="G37" s="1"/>
    </row>
    <row r="38" spans="1:7" x14ac:dyDescent="0.25">
      <c r="A38" s="1"/>
      <c r="B38" s="110" t="s">
        <v>246</v>
      </c>
      <c r="C38" s="111"/>
      <c r="D38" s="112"/>
      <c r="E38" s="9">
        <v>1</v>
      </c>
      <c r="F38" s="14"/>
      <c r="G38" s="1"/>
    </row>
    <row r="39" spans="1:7" x14ac:dyDescent="0.25">
      <c r="A39" s="1"/>
      <c r="B39" s="110" t="s">
        <v>113</v>
      </c>
      <c r="C39" s="111"/>
      <c r="D39" s="112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0" t="s">
        <v>130</v>
      </c>
      <c r="C40" s="111"/>
      <c r="D40" s="112"/>
      <c r="E40" s="9">
        <v>2</v>
      </c>
      <c r="F40" s="14" t="s">
        <v>19</v>
      </c>
      <c r="G40" s="1"/>
    </row>
    <row r="41" spans="1:7" ht="15" customHeight="1" x14ac:dyDescent="0.25">
      <c r="A41" s="1"/>
      <c r="B41" s="113" t="s">
        <v>203</v>
      </c>
      <c r="C41" s="113"/>
      <c r="D41" s="113"/>
      <c r="E41" s="10">
        <f>E39/E40</f>
        <v>0</v>
      </c>
      <c r="F41" s="17" t="s">
        <v>3</v>
      </c>
      <c r="G41" s="1"/>
    </row>
    <row r="42" spans="1:7" x14ac:dyDescent="0.25">
      <c r="A42" s="1"/>
      <c r="B42" s="96"/>
      <c r="C42" s="97"/>
      <c r="D42" s="97"/>
      <c r="E42" s="97"/>
      <c r="F42" s="98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TcS1IUK7GBeIHpBWquw9gXJ6PM6jKGi15W2iYcDey2+jfW40i+yj5VRM+uAaXN0QsX0mZhEYVAH9vBXxcRw5zg==" saltValue="C8yAl4W3alrF+9//dKCETw==" spinCount="100000" sheet="1" objects="1" scenarios="1"/>
  <mergeCells count="30"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5"/>
      <c r="I9" s="1"/>
    </row>
    <row r="10" spans="1:9" ht="26.25" x14ac:dyDescent="0.25">
      <c r="A10" s="1"/>
      <c r="B10" s="39" t="s">
        <v>243</v>
      </c>
      <c r="C10" s="40" t="s">
        <v>244</v>
      </c>
      <c r="D10" s="9">
        <v>30299094</v>
      </c>
      <c r="E10" s="9">
        <f>IFERROR(D10/C10,0)</f>
        <v>403987.92</v>
      </c>
      <c r="F10" s="9">
        <v>0</v>
      </c>
      <c r="G10" s="9">
        <v>672640</v>
      </c>
      <c r="H10" s="14" t="s">
        <v>3</v>
      </c>
      <c r="I10" s="1"/>
    </row>
    <row r="11" spans="1:9" x14ac:dyDescent="0.25">
      <c r="A11" s="1"/>
      <c r="B11" s="96" t="s">
        <v>198</v>
      </c>
      <c r="C11" s="97"/>
      <c r="D11" s="98"/>
      <c r="E11" s="12">
        <f>SUM(E10:E10)</f>
        <v>403987.92</v>
      </c>
      <c r="F11" s="12">
        <f>SUM(F10:F10)</f>
        <v>0</v>
      </c>
      <c r="G11" s="12">
        <f>SUM(G10:G10)</f>
        <v>672640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94</v>
      </c>
      <c r="C8" s="49"/>
      <c r="D8" s="49"/>
      <c r="E8" s="49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1076627.92</v>
      </c>
      <c r="F10" s="14" t="s">
        <v>3</v>
      </c>
      <c r="G10" s="1"/>
    </row>
    <row r="11" spans="1:7" x14ac:dyDescent="0.25">
      <c r="A11" s="1"/>
      <c r="B11" s="41" t="s">
        <v>240</v>
      </c>
      <c r="C11" s="22">
        <v>955979</v>
      </c>
      <c r="D11" s="14" t="s">
        <v>3</v>
      </c>
      <c r="E11" s="9">
        <v>663362</v>
      </c>
      <c r="F11" s="14" t="s">
        <v>3</v>
      </c>
      <c r="G11" s="1"/>
    </row>
    <row r="12" spans="1:7" x14ac:dyDescent="0.25">
      <c r="A12" s="1"/>
      <c r="B12" s="48" t="s">
        <v>48</v>
      </c>
      <c r="C12" s="12">
        <f>SUM(C10:C11)</f>
        <v>955979</v>
      </c>
      <c r="D12" s="13" t="s">
        <v>3</v>
      </c>
      <c r="E12" s="12">
        <f>SUM(E10:E11)</f>
        <v>1739989.92</v>
      </c>
      <c r="F12" s="13" t="s">
        <v>3</v>
      </c>
      <c r="G12" s="1"/>
    </row>
    <row r="13" spans="1:7" x14ac:dyDescent="0.25">
      <c r="A13" s="1"/>
      <c r="B13" s="48" t="s">
        <v>173</v>
      </c>
      <c r="C13" s="12">
        <f>C12*(1+'Fane 12. Nøgletal'!C13)</f>
        <v>967641.94380000001</v>
      </c>
      <c r="D13" s="13" t="s">
        <v>3</v>
      </c>
      <c r="E13" s="12">
        <f>E12*(1+'Fane 12. Nøgletal'!C13)</f>
        <v>1761217.797024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fo0NXsZMBDNPAFm/f3lCYDMcAFokWkK1jYsw2Q/osH09maafU7DtqzE78IAkOU1+XzqiqrorpGFOgzEzi5KRw==" saltValue="b76y5Vu+9eds96RLwsLhh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5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8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5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8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5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8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5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8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BtURgQ10wFrFv0IzvP8T1RUc0/tvSKhS3lqM3HwFvLsdAKZJ8Snsaq41XTVn7KujG4jqcKOPkRCRK5gd+xFQQ==" saltValue="v1ebBJSnTvCS4OAFeWFr7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4" t="s">
        <v>17</v>
      </c>
      <c r="C9" s="44" t="s">
        <v>11</v>
      </c>
      <c r="D9" s="45"/>
      <c r="E9" s="44" t="s">
        <v>34</v>
      </c>
      <c r="F9" s="45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4" t="s">
        <v>17</v>
      </c>
      <c r="C16" s="44" t="s">
        <v>11</v>
      </c>
      <c r="D16" s="45"/>
      <c r="E16" s="44" t="s">
        <v>34</v>
      </c>
      <c r="F16" s="45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4" t="s">
        <v>17</v>
      </c>
      <c r="C23" s="44" t="s">
        <v>11</v>
      </c>
      <c r="D23" s="45"/>
      <c r="E23" s="44" t="s">
        <v>34</v>
      </c>
      <c r="F23" s="45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4" t="s">
        <v>17</v>
      </c>
      <c r="C30" s="44" t="s">
        <v>11</v>
      </c>
      <c r="D30" s="45"/>
      <c r="E30" s="44" t="s">
        <v>34</v>
      </c>
      <c r="F30" s="45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20"/>
      <c r="D8" s="1"/>
    </row>
    <row r="9" spans="1:4" x14ac:dyDescent="0.25">
      <c r="A9" s="1"/>
      <c r="B9" s="52" t="s">
        <v>141</v>
      </c>
      <c r="C9" s="26">
        <v>1.2699999999999999E-2</v>
      </c>
      <c r="D9" s="1"/>
    </row>
    <row r="10" spans="1:4" x14ac:dyDescent="0.25">
      <c r="A10" s="1"/>
      <c r="B10" s="52" t="s">
        <v>22</v>
      </c>
      <c r="C10" s="26">
        <v>1.7500000000000002E-2</v>
      </c>
      <c r="D10" s="1"/>
    </row>
    <row r="11" spans="1:4" x14ac:dyDescent="0.25">
      <c r="A11" s="1"/>
      <c r="B11" s="52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126</v>
      </c>
      <c r="C17" s="20"/>
      <c r="D17" s="1"/>
    </row>
    <row r="18" spans="1:4" x14ac:dyDescent="0.25">
      <c r="A18" s="1"/>
      <c r="B18" s="52" t="s">
        <v>143</v>
      </c>
      <c r="C18" s="23">
        <v>9.1000000000000004E-3</v>
      </c>
      <c r="D18" s="1"/>
    </row>
    <row r="19" spans="1:4" x14ac:dyDescent="0.25">
      <c r="A19" s="1"/>
      <c r="B19" s="52" t="s">
        <v>144</v>
      </c>
      <c r="C19" s="23">
        <v>1.77E-2</v>
      </c>
      <c r="D19" s="1"/>
    </row>
    <row r="20" spans="1:4" x14ac:dyDescent="0.25">
      <c r="A20" s="1"/>
      <c r="B20" s="52" t="s">
        <v>145</v>
      </c>
      <c r="C20" s="23">
        <v>8.6999999999999994E-3</v>
      </c>
      <c r="D20" s="1"/>
    </row>
    <row r="21" spans="1:4" x14ac:dyDescent="0.25">
      <c r="A21" s="1"/>
      <c r="B21" s="52" t="s">
        <v>146</v>
      </c>
      <c r="C21" s="36">
        <v>2.8400000000000002E-2</v>
      </c>
      <c r="D21" s="1"/>
    </row>
    <row r="22" spans="1:4" x14ac:dyDescent="0.25">
      <c r="A22" s="1"/>
      <c r="B22" s="52" t="s">
        <v>186</v>
      </c>
      <c r="C22" s="36">
        <v>2.75E-2</v>
      </c>
      <c r="D22" s="1"/>
    </row>
    <row r="23" spans="1:4" x14ac:dyDescent="0.25">
      <c r="A23" s="1"/>
      <c r="B23" s="4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8" t="s">
        <v>127</v>
      </c>
      <c r="C26" s="20"/>
      <c r="D26" s="1"/>
    </row>
    <row r="27" spans="1:4" x14ac:dyDescent="0.25">
      <c r="A27" s="1"/>
      <c r="B27" s="52" t="s">
        <v>147</v>
      </c>
      <c r="C27" s="26">
        <v>0.02</v>
      </c>
      <c r="D27" s="1"/>
    </row>
    <row r="28" spans="1:4" x14ac:dyDescent="0.25">
      <c r="A28" s="1"/>
      <c r="B28" s="4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x14ac:dyDescent="0.25">
      <c r="A9" s="1"/>
      <c r="B9" s="51" t="s">
        <v>25</v>
      </c>
      <c r="C9" s="7">
        <f>'Fane 3. Omkostninger i ØR2020'!E20</f>
        <v>154306074.44944346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967641.94380000001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1761217.797024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1915826.1971212632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-3179015.2077477747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-1085120.198107129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-3174363.3358141836</v>
      </c>
      <c r="D19" s="8" t="s">
        <v>3</v>
      </c>
      <c r="E19" s="1"/>
    </row>
    <row r="20" spans="1:5" ht="17.100000000000001" customHeight="1" x14ac:dyDescent="0.25">
      <c r="A20" s="1"/>
      <c r="B20" s="53" t="s">
        <v>20</v>
      </c>
      <c r="C20" s="10">
        <f>SUM(C9:C19)</f>
        <v>151512261.64571965</v>
      </c>
      <c r="D20" s="11" t="s">
        <v>3</v>
      </c>
      <c r="E20" s="1"/>
    </row>
    <row r="21" spans="1:5" ht="15" customHeight="1" x14ac:dyDescent="0.25">
      <c r="A21" s="1"/>
      <c r="B21" s="48" t="s">
        <v>12</v>
      </c>
      <c r="C21" s="49"/>
      <c r="D21" s="20"/>
      <c r="E21" s="1"/>
    </row>
    <row r="22" spans="1:5" ht="15" customHeight="1" x14ac:dyDescent="0.25">
      <c r="A22" s="1"/>
      <c r="B22" s="44" t="s">
        <v>12</v>
      </c>
      <c r="C22" s="10">
        <f>'Fane 6. Ikke-påvirkelige omk.'!C15</f>
        <v>73831173.748526886</v>
      </c>
      <c r="D22" s="11" t="s">
        <v>3</v>
      </c>
      <c r="E22" s="1"/>
    </row>
    <row r="23" spans="1:5" ht="15" customHeight="1" x14ac:dyDescent="0.25">
      <c r="A23" s="1"/>
      <c r="B23" s="48" t="s">
        <v>99</v>
      </c>
      <c r="C23" s="49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53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9"/>
      <c r="D27" s="20"/>
      <c r="E27" s="1"/>
    </row>
    <row r="28" spans="1:5" x14ac:dyDescent="0.25">
      <c r="A28" s="1"/>
      <c r="B28" s="54" t="s">
        <v>205</v>
      </c>
      <c r="C28" s="10">
        <f>'Fane 7. Kontrol af ØR2019'!E41</f>
        <v>0</v>
      </c>
      <c r="D28" s="11" t="s">
        <v>3</v>
      </c>
      <c r="E28" s="1"/>
    </row>
    <row r="29" spans="1:5" x14ac:dyDescent="0.25">
      <c r="A29" s="1"/>
      <c r="B29" s="48" t="s">
        <v>31</v>
      </c>
      <c r="C29" s="32">
        <f>SUM(C20,C22,C26,C28)</f>
        <v>225343435.39424652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.140625" style="2" customWidth="1"/>
    <col min="3" max="3" width="11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13</v>
      </c>
      <c r="C8" s="49"/>
      <c r="D8" s="20"/>
      <c r="E8" s="1"/>
    </row>
    <row r="9" spans="1:5" ht="15" customHeight="1" x14ac:dyDescent="0.25">
      <c r="A9" s="1"/>
      <c r="B9" s="51" t="s">
        <v>26</v>
      </c>
      <c r="C9" s="7">
        <f>'Fane 2.1. Økonomisk ramme 2021'!C20</f>
        <v>151512261.64571965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18</v>
      </c>
      <c r="C12" s="9">
        <f>SUM(C9:C11)*'Fane 12. Nøgletal'!C13</f>
        <v>1848449.5920777798</v>
      </c>
      <c r="D12" s="8" t="s">
        <v>3</v>
      </c>
      <c r="E12" s="1"/>
    </row>
    <row r="13" spans="1:5" ht="15" customHeight="1" x14ac:dyDescent="0.25">
      <c r="A13" s="1"/>
      <c r="B13" s="42" t="s">
        <v>9</v>
      </c>
      <c r="C13" s="9">
        <f>-SUM(C9:C12)*'Fane 5. Individuelt eff. krav'!G10</f>
        <v>-3067214.2247559489</v>
      </c>
      <c r="D13" s="8" t="s">
        <v>3</v>
      </c>
      <c r="E13" s="1"/>
    </row>
    <row r="14" spans="1:5" ht="15" customHeight="1" x14ac:dyDescent="0.25">
      <c r="A14" s="1"/>
      <c r="B14" s="42" t="s">
        <v>27</v>
      </c>
      <c r="C14" s="9">
        <f>-'Fane 4.1. Gen. krav - drift'!G37</f>
        <v>-1076391.4912335551</v>
      </c>
      <c r="D14" s="8" t="s">
        <v>3</v>
      </c>
      <c r="E14" s="1"/>
    </row>
    <row r="15" spans="1:5" ht="15" customHeight="1" x14ac:dyDescent="0.25">
      <c r="A15" s="1"/>
      <c r="B15" s="42" t="s">
        <v>28</v>
      </c>
      <c r="C15" s="9">
        <f>-'Fane 4.2. Gen. krav - anlæg'!G37</f>
        <v>-3124730.577877061</v>
      </c>
      <c r="D15" s="8" t="s">
        <v>3</v>
      </c>
      <c r="E15" s="1"/>
    </row>
    <row r="16" spans="1:5" ht="15" customHeight="1" x14ac:dyDescent="0.25">
      <c r="A16" s="1"/>
      <c r="B16" s="43" t="s">
        <v>20</v>
      </c>
      <c r="C16" s="10">
        <f>SUM(C9:C15)</f>
        <v>146092374.94393086</v>
      </c>
      <c r="D16" s="11" t="s">
        <v>3</v>
      </c>
      <c r="E16" s="1"/>
    </row>
    <row r="17" spans="1:5" x14ac:dyDescent="0.25">
      <c r="A17" s="1"/>
      <c r="B17" s="48" t="s">
        <v>12</v>
      </c>
      <c r="C17" s="49"/>
      <c r="D17" s="20"/>
      <c r="E17" s="1"/>
    </row>
    <row r="18" spans="1:5" ht="15" customHeight="1" x14ac:dyDescent="0.25">
      <c r="A18" s="1"/>
      <c r="B18" s="44" t="s">
        <v>12</v>
      </c>
      <c r="C18" s="10">
        <f>'Fane 6. Ikke-påvirkelige omk.'!C15*(1+'Fane 12. Nøgletal'!C13)</f>
        <v>74731914.068258911</v>
      </c>
      <c r="D18" s="11" t="s">
        <v>3</v>
      </c>
      <c r="E18" s="1"/>
    </row>
    <row r="19" spans="1:5" ht="15" customHeight="1" x14ac:dyDescent="0.25">
      <c r="A19" s="1"/>
      <c r="B19" s="48" t="s">
        <v>99</v>
      </c>
      <c r="C19" s="49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3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9"/>
      <c r="D23" s="20"/>
      <c r="E23" s="1"/>
    </row>
    <row r="24" spans="1:5" ht="15" customHeight="1" x14ac:dyDescent="0.25">
      <c r="A24" s="1"/>
      <c r="B24" s="54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8" t="s">
        <v>32</v>
      </c>
      <c r="C25" s="12">
        <f>SUM(C16,C18,C22,C24)</f>
        <v>220824289.01218978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aFi71rJlpOuseroeCev1DNAHrf4DilvujCWGKBFSfD8ZvnF2I6ooiKMQSJkzoEKTGDniFyO4kNwluzaa1MOviw==" saltValue="pHK49fsdHujx2uua2NYf1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1.140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165</v>
      </c>
      <c r="C8" s="7">
        <f>'Fane 2.2. Økonomisk ramme 2022'!C16</f>
        <v>146092374.94393086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1782326.9743159567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-2957494.0383649366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drift'!G43</f>
        <v>-1067732.9980780724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anlæg'!G43</f>
        <v>-3075873.8529266641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140773601.02887714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omk.'!C15*(1+'Fane 12. Nøgletal'!C13)^2</f>
        <v>75643643.41989167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109</v>
      </c>
      <c r="C22" s="12">
        <f>SUM(C15,C17,C21)</f>
        <v>216417244.44876879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SOBODr45Fq31F2yGxIvzRGiYkpYJgAVAh2VC/AxL/sP4L1Qiun/31oCrHHMy1M0kMnGAwaifccBHt8c0IAvqPg==" saltValue="f1TYH2/GxqFyvbhXitCR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2851562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13</v>
      </c>
      <c r="C7" s="49"/>
      <c r="D7" s="20"/>
      <c r="E7" s="1"/>
    </row>
    <row r="8" spans="1:5" ht="15" customHeight="1" x14ac:dyDescent="0.25">
      <c r="A8" s="1"/>
      <c r="B8" s="51" t="s">
        <v>166</v>
      </c>
      <c r="C8" s="7">
        <f>'Fane 2.3. Økonomisk ramme 2023'!C15</f>
        <v>140773601.02887714</v>
      </c>
      <c r="D8" s="8" t="s">
        <v>3</v>
      </c>
      <c r="E8" s="1"/>
    </row>
    <row r="9" spans="1:5" ht="15" customHeight="1" x14ac:dyDescent="0.2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18</v>
      </c>
      <c r="C11" s="9">
        <f>SUM(C8:C10)*'Fane 12. Nøgletal'!C13</f>
        <v>1717437.9325523011</v>
      </c>
      <c r="D11" s="8" t="s">
        <v>3</v>
      </c>
      <c r="E11" s="1"/>
    </row>
    <row r="12" spans="1:5" ht="15" customHeight="1" x14ac:dyDescent="0.25">
      <c r="A12" s="1"/>
      <c r="B12" s="42" t="s">
        <v>9</v>
      </c>
      <c r="C12" s="9">
        <f>-SUM(C8:C11)*'Fane 5. Individuelt eff. krav'!G10</f>
        <v>-2849820.779228589</v>
      </c>
      <c r="D12" s="8" t="s">
        <v>3</v>
      </c>
      <c r="E12" s="1"/>
    </row>
    <row r="13" spans="1:5" ht="15" customHeight="1" x14ac:dyDescent="0.25">
      <c r="A13" s="1"/>
      <c r="B13" s="42" t="s">
        <v>27</v>
      </c>
      <c r="C13" s="9">
        <f>-'Fane 4.1. Gen. krav - drift'!G49</f>
        <v>-1059144.1538415325</v>
      </c>
      <c r="D13" s="8" t="s">
        <v>3</v>
      </c>
      <c r="E13" s="1"/>
    </row>
    <row r="14" spans="1:5" ht="15" customHeight="1" x14ac:dyDescent="0.25">
      <c r="A14" s="1"/>
      <c r="B14" s="42" t="s">
        <v>28</v>
      </c>
      <c r="C14" s="9">
        <f>-'Fane 4.2. Gen. krav - anlæg'!G49</f>
        <v>-3027781.0272992291</v>
      </c>
      <c r="D14" s="8" t="s">
        <v>3</v>
      </c>
      <c r="E14" s="1"/>
    </row>
    <row r="15" spans="1:5" x14ac:dyDescent="0.25">
      <c r="A15" s="1"/>
      <c r="B15" s="43" t="s">
        <v>20</v>
      </c>
      <c r="C15" s="10">
        <f>SUM(C8:C14)</f>
        <v>135554293.0010601</v>
      </c>
      <c r="D15" s="11" t="s">
        <v>3</v>
      </c>
      <c r="E15" s="1"/>
    </row>
    <row r="16" spans="1:5" x14ac:dyDescent="0.25">
      <c r="A16" s="1"/>
      <c r="B16" s="48" t="s">
        <v>12</v>
      </c>
      <c r="C16" s="49"/>
      <c r="D16" s="20"/>
      <c r="E16" s="1"/>
    </row>
    <row r="17" spans="1:5" ht="15" customHeight="1" x14ac:dyDescent="0.25">
      <c r="A17" s="1"/>
      <c r="B17" s="44" t="s">
        <v>12</v>
      </c>
      <c r="C17" s="10">
        <f>'Fane 6. Ikke-påvirkelige omk.'!C15*(1+'Fane 12. Nøgletal'!C13)^3</f>
        <v>76566495.869614348</v>
      </c>
      <c r="D17" s="11" t="s">
        <v>3</v>
      </c>
      <c r="E17" s="1"/>
    </row>
    <row r="18" spans="1:5" ht="15" customHeight="1" x14ac:dyDescent="0.25">
      <c r="A18" s="1"/>
      <c r="B18" s="48" t="s">
        <v>99</v>
      </c>
      <c r="C18" s="49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3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242</v>
      </c>
      <c r="C22" s="12">
        <f>SUM(C15,C17,C21)</f>
        <v>212120788.87067443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HoXniaxlTh/e4FNYmzeJp4cfcFuskky6cy+bQbg9QPbZrbD0CM8EGfg55pEmfkEEPlr9dzkvTo8E8TKXWsiUg==" saltValue="c89gz9QMJwaGkS/JJX0bh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8.14062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167</v>
      </c>
      <c r="C8" s="49"/>
      <c r="D8" s="49"/>
      <c r="E8" s="49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153095275.00516495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957189.33090000006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1746167.0191680002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2640566.2676836266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-2038166.9800139791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-1074171.8933065999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-1020784.3001525361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154306074.44944346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9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75520041.889232159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9"/>
      <c r="F23" s="49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8" t="s">
        <v>228</v>
      </c>
      <c r="C27" s="49"/>
      <c r="D27" s="49"/>
      <c r="E27" s="49"/>
      <c r="F27" s="49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3887389</v>
      </c>
      <c r="F28" s="11" t="s">
        <v>3</v>
      </c>
      <c r="G28" s="1"/>
    </row>
    <row r="29" spans="1:7" x14ac:dyDescent="0.25">
      <c r="A29" s="1"/>
      <c r="B29" s="48" t="s">
        <v>230</v>
      </c>
      <c r="C29" s="49"/>
      <c r="D29" s="49"/>
      <c r="E29" s="49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18015414.363109089</v>
      </c>
      <c r="F30" s="11" t="s">
        <v>3</v>
      </c>
      <c r="G30" s="1"/>
    </row>
    <row r="31" spans="1:7" x14ac:dyDescent="0.25">
      <c r="A31" s="1"/>
      <c r="B31" s="48" t="s">
        <v>232</v>
      </c>
      <c r="C31" s="49"/>
      <c r="D31" s="49"/>
      <c r="E31" s="49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8" t="s">
        <v>24</v>
      </c>
      <c r="C33" s="49"/>
      <c r="D33" s="49"/>
      <c r="E33" s="12">
        <f>SUM(E30,E26,E28,E22,E20,E32)</f>
        <v>251728919.7017847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53501163.982203498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1070023.27964407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53097016.189481929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1061940.3237896387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52914468.647822484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1058289.3729564496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52732548.704611272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976045.96071873012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1074171.8933065999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53276562.729842089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979447.17551435996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1085120.198107129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53819574.561677761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1076391.4912335551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53386649.903903626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1067732.9980780724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52957207.692076623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1059144.1538415325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107119430.78324479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974786.82012752758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107492680.94144884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978183.39656718448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108314592.55339015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223970.04631781884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2089656.4167189696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962465.50544291432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111519104.74531963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1780566.50944561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1020784.3001525361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113648689.37545897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1782704.6541476927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3174363.3358141836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113626566.46825676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3124730.577877061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111849958.28824233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3075873.8529266641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110101128.26542652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3027781.0272992291</v>
      </c>
      <c r="H49" s="14" t="s">
        <v>3</v>
      </c>
      <c r="I49" s="1"/>
    </row>
    <row r="50" spans="1:9" x14ac:dyDescent="0.25">
      <c r="A50" s="1"/>
      <c r="B50" s="48"/>
      <c r="C50" s="49"/>
      <c r="D50" s="49"/>
      <c r="E50" s="49"/>
      <c r="F50" s="49"/>
      <c r="G50" s="49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1.286403245278225E-2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0.02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2020-10-21T06:51:45Z</dcterms:modified>
</cp:coreProperties>
</file>