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Bornholms Vand AS (V027)\ØR2024\"/>
    </mc:Choice>
  </mc:AlternateContent>
  <xr:revisionPtr revIDLastSave="0" documentId="13_ncr:1_{C47B74A6-B60F-4DF2-A494-202219A3612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31" i="41" s="1"/>
  <c r="E33" i="41" s="1"/>
  <c r="E27" i="41" l="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<sst xmlns="http://schemas.openxmlformats.org/spreadsheetml/2006/main" count="554" uniqueCount="266">
  <si>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</si>
  <si>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</si>
  <si>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</si>
  <si>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</si>
  <si>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</si>
  <si>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</si>
  <si>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</si>
  <si>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</si>
  <si>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</si>
  <si>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</si>
  <si>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</si>
  <si>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</si>
  <si>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</si>
  <si>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</si>
  <si>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</si>
  <si>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</si>
  <si>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</si>
  <si>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</si>
  <si>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</si>
  <si>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</si>
  <si>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</si>
  <si>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</si>
  <si>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</si>
  <si>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</si>
  <si>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</si>
  <si>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</si>
  <si>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</si>
  <si>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</si>
  <si>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</si>
  <si>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</si>
  <si>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</si>
  <si>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</si>
  <si>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</si>
  <si>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</si>
  <si>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</si>
  <si>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</si>
  <si>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</si>
  <si>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</si>
  <si>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</si>
  <si>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</si>
  <si>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</si>
  <si>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</si>
  <si>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</si>
  <si>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</si>
  <si>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</si>
  <si>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</si>
  <si>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</si>
  <si>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</si>
  <si>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</si>
  <si>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</si>
  <si>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</si>
  <si>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</si>
  <si>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</si>
  <si>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</si>
  <si>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</si>
  <si>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</si>
  <si>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</si>
  <si>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</si>
  <si>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</si>
  <si>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</si>
  <si>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</si>
  <si>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</si>
  <si>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</si>
  <si>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</si>
  <si>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</si>
  <si>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</si>
  <si>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</si>
  <si>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</si>
  <si>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</si>
  <si>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</si>
  <si>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</si>
  <si>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</si>
  <si>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</si>
  <si>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</si>
  <si>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</si>
  <si>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</si>
  <si>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</si>
  <si>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</si>
  <si>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</si>
  <si>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</si>
  <si>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</si>
  <si>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</si>
  <si>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</si>
  <si>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</si>
  <si>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</si>
  <si>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</si>
  <si>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</si>
  <si>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</si>
  <si>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</si>
  <si>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</si>
  <si>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</si>
  <si>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</si>
  <si>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</si>
  <si>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</si>
  <si>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</si>
  <si>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</si>
  <si>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</si>
  <si>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</si>
  <si>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</si>
  <si>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</si>
  <si>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</si>
  <si>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</si>
  <si>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</si>
  <si>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</si>
  <si>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</si>
  <si>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</si>
  <si>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</si>
  <si>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</si>
  <si>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</si>
  <si>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</si>
  <si>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</si>
  <si>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</si>
  <si>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</si>
  <si>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</si>
  <si>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</si>
  <si>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</si>
  <si>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</si>
  <si>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</si>
  <si>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</si>
  <si>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</si>
  <si>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</si>
  <si>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</si>
  <si>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</si>
  <si>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</si>
  <si>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</si>
  <si>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</si>
  <si>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</si>
  <si>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</si>
  <si>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</si>
  <si>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</si>
  <si>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</si>
  <si>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</si>
  <si>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</si>
  <si>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</si>
  <si>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</si>
  <si>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</si>
  <si>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</si>
  <si>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</si>
  <si>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</si>
  <si>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</si>
  <si>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</si>
  <si>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</si>
  <si>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</si>
  <si>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</si>
  <si>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</si>
  <si>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</si>
  <si>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</si>
  <si>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</si>
  <si>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</si>
  <si>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</si>
  <si>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</si>
  <si>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</si>
  <si>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</si>
  <si>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</si>
  <si>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</si>
  <si>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</si>
  <si>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</si>
  <si>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</si>
  <si>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</si>
  <si>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</si>
  <si>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</si>
  <si>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</si>
  <si>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</si>
  <si>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</si>
  <si>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</si>
  <si>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</si>
  <si>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</si>
  <si>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</si>
  <si>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</si>
  <si>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</si>
  <si>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</si>
  <si>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</si>
  <si>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</si>
  <si>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</si>
  <si>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</si>
  <si>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</si>
  <si>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</si>
  <si>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</si>
  <si>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</si>
  <si>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</si>
  <si>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</si>
  <si>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</si>
  <si>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</si>
  <si>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</si>
  <si>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</si>
  <si>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</si>
  <si>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</si>
  <si>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</si>
  <si>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</si>
  <si>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</si>
  <si>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</si>
  <si>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</si>
  <si>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</si>
  <si>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</si>
  <si>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</si>
  <si>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</si>
  <si>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</si>
  <si>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</si>
  <si>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</si>
  <si>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</si>
  <si>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</si>
  <si>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</si>
  <si>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</si>
  <si>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</si>
  <si>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</si>
  <si>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</si>
  <si>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</si>
  <si>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</si>
  <si>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</si>
  <si>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</si>
  <si>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</si>
  <si>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</si>
  <si>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</si>
  <si>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</si>
  <si>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</si>
  <si>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</si>
  <si>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</si>
  <si>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</si>
  <si>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</si>
  <si>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</si>
  <si>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</si>
  <si>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</si>
  <si>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</si>
  <si>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</si>
  <si>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</si>
  <si>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</si>
  <si>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</si>
  <si>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</si>
  <si>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</si>
  <si>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</si>
  <si>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</si>
  <si>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</si>
  <si>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</si>
  <si>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</si>
  <si>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</si>
  <si>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</si>
  <si>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</si>
  <si>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</si>
  <si>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</si>
  <si>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</si>
  <si>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</si>
  <si>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</si>
  <si>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</si>
  <si>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Nye stikledninger 2018-2022</t>
  </si>
  <si>
    <t>Afgift for ledningsført vand</t>
  </si>
  <si>
    <t>Afgift til Forsyningssekretariatet</t>
  </si>
  <si>
    <t>Køb af ydelser og produkter fra andre vandselskaber reguleret af vandsektorloven</t>
  </si>
  <si>
    <t>Ejendomsskat</t>
  </si>
  <si>
    <t>Tjenestemandspensioner</t>
  </si>
  <si>
    <t>Erstatninger</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</si>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</sst>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1"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row r="3">
          <cell r="A3" t="str">
            <v>S016</v>
          </cell>
        </row>
      </sheetData>
      <sheetData sheetId="5">
        <row r="3">
          <cell r="A3" t="str">
            <v>S016</v>
          </cell>
        </row>
      </sheetData>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W3572sw26seO2HKtSCZFTwtR080kHVEZ1WtwkBL2l38Na0g+AUcBLYThDECyuCoLwZO1ldeHR1j9aZeHDVOb/A==" saltValue="KfVQP96sciP+EWhrR1ZxX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8" t="s">
        <v>244</v>
      </c>
      <c r="C10" s="9">
        <v>7818056</v>
      </c>
      <c r="D10" s="14" t="s">
        <v>3</v>
      </c>
      <c r="E10" s="1"/>
      <c r="F10" s="1"/>
    </row>
    <row r="11" spans="1:6" x14ac:dyDescent="0.25">
      <c r="A11" s="1"/>
      <c r="B11" s="68" t="s">
        <v>245</v>
      </c>
      <c r="C11" s="9">
        <v>79017</v>
      </c>
      <c r="D11" s="14" t="s">
        <v>3</v>
      </c>
      <c r="E11" s="1"/>
      <c r="F11" s="1"/>
    </row>
    <row r="12" spans="1:6" ht="26.25" x14ac:dyDescent="0.25">
      <c r="A12" s="1"/>
      <c r="B12" s="54" t="s">
        <v>246</v>
      </c>
      <c r="C12" s="9">
        <v>66158</v>
      </c>
      <c r="D12" s="14" t="s">
        <v>3</v>
      </c>
      <c r="E12" s="1"/>
      <c r="F12" s="1"/>
    </row>
    <row r="13" spans="1:6" x14ac:dyDescent="0.25">
      <c r="A13" s="1"/>
      <c r="B13" s="68" t="s">
        <v>247</v>
      </c>
      <c r="C13" s="9">
        <v>54484</v>
      </c>
      <c r="D13" s="14" t="s">
        <v>3</v>
      </c>
      <c r="E13" s="1"/>
      <c r="F13" s="1"/>
    </row>
    <row r="14" spans="1:6" x14ac:dyDescent="0.25">
      <c r="A14" s="1"/>
      <c r="B14" s="68" t="s">
        <v>248</v>
      </c>
      <c r="C14" s="9">
        <v>19818</v>
      </c>
      <c r="D14" s="14" t="s">
        <v>3</v>
      </c>
      <c r="E14" s="1"/>
      <c r="F14" s="1"/>
    </row>
    <row r="15" spans="1:6" x14ac:dyDescent="0.25">
      <c r="A15" s="1"/>
      <c r="B15" s="68" t="s">
        <v>249</v>
      </c>
      <c r="C15" s="9">
        <v>279958.98000000004</v>
      </c>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1" t="s">
        <v>213</v>
      </c>
      <c r="C19" s="12">
        <f>SUM(C10:C18)</f>
        <v>8317491.9800000004</v>
      </c>
      <c r="D19" s="13" t="s">
        <v>3</v>
      </c>
      <c r="E19" s="1"/>
      <c r="F19" s="1"/>
    </row>
    <row r="20" spans="1:6" x14ac:dyDescent="0.25">
      <c r="A20" s="1"/>
      <c r="B20" s="51" t="s">
        <v>214</v>
      </c>
      <c r="C20" s="12">
        <f>C19*(1+'Fane 13. Nøgletal'!C16)^2</f>
        <v>9715900.5948083065</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LGqatQgZqprBsDPB1frOx6jyGWgn/soEmZ/vFCew0XoeFRdsNEbRj9KZowJDijheqyK+GyifZXmL5xh+TSoSbw==" saltValue="jwYMGpxspXVXIuvYNK5cp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04" t="s">
        <v>251</v>
      </c>
      <c r="C8" s="105"/>
      <c r="D8" s="105"/>
      <c r="E8" s="105"/>
      <c r="F8" s="106"/>
      <c r="G8" s="1"/>
    </row>
    <row r="9" spans="1:7" x14ac:dyDescent="0.25">
      <c r="A9" s="1"/>
      <c r="B9" s="98" t="s">
        <v>252</v>
      </c>
      <c r="C9" s="99"/>
      <c r="D9" s="100"/>
      <c r="E9" s="28">
        <v>-677340.45805873349</v>
      </c>
      <c r="F9" s="14" t="s">
        <v>3</v>
      </c>
      <c r="G9" s="1"/>
    </row>
    <row r="10" spans="1:7" x14ac:dyDescent="0.25">
      <c r="A10" s="1"/>
      <c r="B10" s="51"/>
      <c r="C10" s="52"/>
      <c r="D10" s="52"/>
      <c r="E10" s="52"/>
      <c r="F10" s="19"/>
      <c r="G10" s="1"/>
    </row>
    <row r="11" spans="1:7" ht="54.75" customHeight="1" x14ac:dyDescent="0.25">
      <c r="A11" s="1"/>
      <c r="B11" s="120" t="s">
        <v>253</v>
      </c>
      <c r="C11" s="121"/>
      <c r="D11" s="121"/>
      <c r="E11" s="121"/>
      <c r="F11" s="122"/>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254</v>
      </c>
      <c r="C14" s="99"/>
      <c r="D14" s="100"/>
      <c r="E14" s="9">
        <v>-170462.85620387644</v>
      </c>
      <c r="F14" s="14" t="s">
        <v>3</v>
      </c>
      <c r="G14" s="1"/>
    </row>
    <row r="15" spans="1:7" x14ac:dyDescent="0.25">
      <c r="A15" s="1"/>
      <c r="B15" s="98" t="s">
        <v>255</v>
      </c>
      <c r="C15" s="99"/>
      <c r="D15" s="100"/>
      <c r="E15" s="9">
        <v>-170462.85620387644</v>
      </c>
      <c r="F15" s="14" t="s">
        <v>3</v>
      </c>
      <c r="G15" s="1"/>
    </row>
    <row r="16" spans="1:7" x14ac:dyDescent="0.25">
      <c r="A16" s="1"/>
      <c r="B16" s="51"/>
      <c r="C16" s="52"/>
      <c r="D16" s="52"/>
      <c r="E16" s="52"/>
      <c r="F16" s="19"/>
      <c r="G16" s="1"/>
    </row>
    <row r="17" spans="1:7" ht="32.25" customHeight="1" x14ac:dyDescent="0.25">
      <c r="A17" s="1"/>
      <c r="B17" s="120" t="s">
        <v>256</v>
      </c>
      <c r="C17" s="121"/>
      <c r="D17" s="121"/>
      <c r="E17" s="121"/>
      <c r="F17" s="122"/>
      <c r="G17" s="1"/>
    </row>
    <row r="18" spans="1:7" x14ac:dyDescent="0.25">
      <c r="A18" s="1"/>
      <c r="B18" s="1"/>
      <c r="C18" s="1"/>
      <c r="D18" s="1"/>
      <c r="E18" s="1"/>
      <c r="F18" s="1"/>
      <c r="G18" s="1"/>
    </row>
    <row r="19" spans="1:7" x14ac:dyDescent="0.25">
      <c r="A19" s="1"/>
      <c r="B19" s="62" t="s">
        <v>257</v>
      </c>
      <c r="C19" s="63"/>
      <c r="D19" s="63"/>
      <c r="E19" s="63"/>
      <c r="F19" s="64"/>
      <c r="G19" s="1"/>
    </row>
    <row r="20" spans="1:7" x14ac:dyDescent="0.25">
      <c r="A20" s="1"/>
      <c r="B20" s="65" t="s">
        <v>258</v>
      </c>
      <c r="C20" s="66"/>
      <c r="D20" s="67"/>
      <c r="E20" s="9">
        <v>27142380.411770906</v>
      </c>
      <c r="F20" s="14" t="s">
        <v>3</v>
      </c>
      <c r="G20" s="1"/>
    </row>
    <row r="21" spans="1:7" x14ac:dyDescent="0.25">
      <c r="A21" s="1"/>
      <c r="B21" s="65" t="s">
        <v>259</v>
      </c>
      <c r="C21" s="66"/>
      <c r="D21" s="67"/>
      <c r="E21" s="9">
        <v>27312340</v>
      </c>
      <c r="F21" s="14" t="s">
        <v>3</v>
      </c>
      <c r="G21" s="1"/>
    </row>
    <row r="22" spans="1:7" x14ac:dyDescent="0.25">
      <c r="A22" s="1"/>
      <c r="B22" s="65" t="s">
        <v>29</v>
      </c>
      <c r="C22" s="66"/>
      <c r="D22" s="67"/>
      <c r="E22" s="9">
        <v>0</v>
      </c>
      <c r="F22" s="14" t="s">
        <v>3</v>
      </c>
      <c r="G22" s="1"/>
    </row>
    <row r="23" spans="1:7" x14ac:dyDescent="0.25">
      <c r="A23" s="1"/>
      <c r="B23" s="70" t="s">
        <v>260</v>
      </c>
      <c r="C23" s="71"/>
      <c r="D23" s="72"/>
      <c r="E23" s="10">
        <f>E20-(E21-E22)</f>
        <v>-169959.5882290937</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4" t="s">
        <v>261</v>
      </c>
      <c r="C26" s="105"/>
      <c r="D26" s="105"/>
      <c r="E26" s="105"/>
      <c r="F26" s="106"/>
      <c r="G26" s="1"/>
    </row>
    <row r="27" spans="1:7" x14ac:dyDescent="0.25">
      <c r="A27" s="1"/>
      <c r="B27" s="123" t="s">
        <v>262</v>
      </c>
      <c r="C27" s="124"/>
      <c r="D27" s="125"/>
      <c r="E27" s="58">
        <f>IF(AND(E15&lt;0,E23&gt;0,ABS(SUM(E14:E15))&lt;E23),ABS(E14),IF(AND(E15&lt;0,E23&gt;0,ABS(SUM(E14:E15))&gt;E23),SUM(E14,E23),0))</f>
        <v>0</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263</v>
      </c>
      <c r="C30" s="105"/>
      <c r="D30" s="105"/>
      <c r="E30" s="105"/>
      <c r="F30" s="106"/>
      <c r="G30" s="1"/>
    </row>
    <row r="31" spans="1:7" x14ac:dyDescent="0.25">
      <c r="A31" s="1"/>
      <c r="B31" s="126" t="s">
        <v>117</v>
      </c>
      <c r="C31" s="127"/>
      <c r="D31" s="128"/>
      <c r="E31" s="59">
        <f>IF(AND(E9&gt;0,(E9+E23)&gt;0),0,IF(AND(E9&gt;0,(E9+E23)&lt;0),(E9+E23),IF(AND(E9&lt;0,E23&lt;0),E23,0)))</f>
        <v>-169959.5882290937</v>
      </c>
      <c r="F31" s="14" t="s">
        <v>3</v>
      </c>
      <c r="G31" s="1"/>
    </row>
    <row r="32" spans="1:7" x14ac:dyDescent="0.25">
      <c r="A32" s="1"/>
      <c r="B32" s="126" t="s">
        <v>85</v>
      </c>
      <c r="C32" s="127"/>
      <c r="D32" s="128"/>
      <c r="E32" s="9">
        <v>2</v>
      </c>
      <c r="F32" s="14" t="s">
        <v>18</v>
      </c>
      <c r="G32" s="1"/>
    </row>
    <row r="33" spans="1:7" x14ac:dyDescent="0.25">
      <c r="A33" s="1"/>
      <c r="B33" s="116" t="s">
        <v>116</v>
      </c>
      <c r="C33" s="116"/>
      <c r="D33" s="116"/>
      <c r="E33" s="58">
        <f>E31/E32</f>
        <v>-84979.79411454685</v>
      </c>
      <c r="F33" s="17" t="s">
        <v>3</v>
      </c>
      <c r="G33" s="1"/>
    </row>
    <row r="34" spans="1:7" x14ac:dyDescent="0.25">
      <c r="A34" s="1"/>
      <c r="B34" s="117"/>
      <c r="C34" s="118"/>
      <c r="D34" s="118"/>
      <c r="E34" s="118"/>
      <c r="F34" s="11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UecIFW22YSRlcQu0SDpYprPSVhXaD1MiPdmdaIvFzqqIfEIJJ0kSLvxgqHK8R/x91ymSf2wt8l6e85Vhp3BVRQ==" saltValue="ypCr1HS6x8l0Th5tNHLy8A==" spinCount="100000" sheet="1" objects="1" scenarios="1"/>
  <mergeCells count="16">
    <mergeCell ref="B13:F13"/>
    <mergeCell ref="B3:F4"/>
    <mergeCell ref="B8:F8"/>
    <mergeCell ref="B9:D9"/>
    <mergeCell ref="B11:F11"/>
    <mergeCell ref="B33:D33"/>
    <mergeCell ref="B34:F34"/>
    <mergeCell ref="B14:D14"/>
    <mergeCell ref="B15:D15"/>
    <mergeCell ref="B17:F17"/>
    <mergeCell ref="B26:F26"/>
    <mergeCell ref="B27:D27"/>
    <mergeCell ref="B31:D31"/>
    <mergeCell ref="B28:F28"/>
    <mergeCell ref="B30:F30"/>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4pQafxI3rDDzP2TMJv9P/T/6EEVv9iTNdWBrZyT4OKKsBPGxZ/eYw3VWyrRl9Tx/SsTUQ4/Bl19pDb6WH5h/9Q==" saltValue="j7yqSD6aA1wBTF93LMzOR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PfoDuBsmwey56Kk2psEtbOm6RNqhol7+/68tcDMg0WoNkHCevs6t4gkH/70fRJiyBD8PqEECBO9ymCviv4tZcQ==" saltValue="u0WTAnQGnDwmdlxvKX49B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160020</v>
      </c>
      <c r="D11" s="14" t="s">
        <v>3</v>
      </c>
      <c r="E11" s="9">
        <v>63450</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160020</v>
      </c>
      <c r="D17" s="13" t="s">
        <v>3</v>
      </c>
      <c r="E17" s="12">
        <f>SUM(E10:E16)</f>
        <v>63450</v>
      </c>
      <c r="F17" s="13" t="s">
        <v>3</v>
      </c>
      <c r="G17" s="1"/>
    </row>
    <row r="18" spans="1:7" x14ac:dyDescent="0.25">
      <c r="A18" s="1"/>
      <c r="B18" s="51" t="s">
        <v>209</v>
      </c>
      <c r="C18" s="12">
        <f>C17*(1+'Fane 13. Nøgletal'!C16)</f>
        <v>172949.61600000001</v>
      </c>
      <c r="D18" s="13" t="s">
        <v>3</v>
      </c>
      <c r="E18" s="12">
        <f>E17*(1+'Fane 13. Nøgletal'!C16)</f>
        <v>68576.759999999995</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2KV6d/6oo+ItzOCwYvZB3TFSe/VvGqofIiGFtV6Vv79Myl2I4UPSJOyuyHlKaoAUPMCxJZzspet7SSKuPTCldQ==" saltValue="zxxuorq/KHvXFPOwwj8NF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3" t="s">
        <v>15</v>
      </c>
      <c r="C10" s="73" t="s">
        <v>10</v>
      </c>
      <c r="D10" s="74"/>
      <c r="E10" s="73" t="s">
        <v>27</v>
      </c>
      <c r="F10" s="30"/>
      <c r="G10" s="1"/>
    </row>
    <row r="11" spans="1:7" x14ac:dyDescent="0.25">
      <c r="A11" s="1"/>
      <c r="B11" s="23" t="s">
        <v>250</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vydvrjRAeIuMFqe0Rfz+nFBF+sP2fWp5jRNJItPb4IrgW8dZVqJ7HIXdfn9W1f45x15MuO+CUppxdYA/SZe2w==" saltValue="xDa6BL6eVLsH2b9I60I4F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3" t="s">
        <v>105</v>
      </c>
      <c r="C9" s="129" t="s">
        <v>10</v>
      </c>
      <c r="D9" s="131"/>
      <c r="E9" s="129" t="s">
        <v>27</v>
      </c>
      <c r="F9" s="131"/>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oVElIXJSC4Sjf/Gk4Mo9TdBu2kkGYm4/ENmoEW115jFZwrXDxhDK4knhzV021bcCh109DhMv8OKSiP7a5bGoxw==" saltValue="Eo322/PH/gDa2Un1mZ3pv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5.8554687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4" t="s">
        <v>237</v>
      </c>
      <c r="C10" s="105"/>
      <c r="D10" s="105"/>
      <c r="E10" s="105"/>
      <c r="F10" s="106"/>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oDang+r2qbumUaiRj8FH35ZDyDXRStLS260zUozp/8lhoE9trey9h6W7Ht4s5gcy4vT/NQOqM9A2weChzzHvw==" saltValue="PLdiKgsyCsEGa19vbY4nn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8"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LTjPhfjJdAPv6hPKQFABS7SphtdjwPY/KhJcQXG1STU8PXJxcFTMQ7QQxgaq/uAYonRPbaXBN34MkhZmI2dWlw==" saltValue="vr9uJX1bRkkIdD/fmQ2Uo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19095932.032058895</v>
      </c>
      <c r="D8" s="8" t="s">
        <v>3</v>
      </c>
      <c r="E8" s="1"/>
    </row>
    <row r="9" spans="1:5" ht="17.100000000000001" customHeight="1" x14ac:dyDescent="0.25">
      <c r="A9" s="1"/>
      <c r="B9" s="24" t="s">
        <v>33</v>
      </c>
      <c r="C9" s="7">
        <f>'Fane 10.1. Varige tillæg'!C18</f>
        <v>172949.61600000001</v>
      </c>
      <c r="D9" s="8" t="s">
        <v>3</v>
      </c>
      <c r="E9" s="1"/>
    </row>
    <row r="10" spans="1:5" ht="17.100000000000001" customHeight="1" x14ac:dyDescent="0.25">
      <c r="A10" s="1"/>
      <c r="B10" s="24" t="s">
        <v>34</v>
      </c>
      <c r="C10" s="9">
        <f>'Fane 10.1. Varige tillæg'!E18</f>
        <v>68576.759999999995</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699330.51152209658</v>
      </c>
      <c r="D15" s="8" t="s">
        <v>3</v>
      </c>
      <c r="E15" s="1"/>
    </row>
    <row r="16" spans="1:5" ht="17.100000000000001" customHeight="1" x14ac:dyDescent="0.25">
      <c r="A16" s="1"/>
      <c r="B16" s="24" t="s">
        <v>9</v>
      </c>
      <c r="C16" s="9">
        <f>-SUM(C8,C9:C15)*'Fane 5. Individuelt eff. krav'!G9</f>
        <v>-303730.50738939404</v>
      </c>
      <c r="D16" s="8" t="s">
        <v>3</v>
      </c>
      <c r="E16" s="1"/>
    </row>
    <row r="17" spans="1:5" ht="17.100000000000001" customHeight="1" x14ac:dyDescent="0.25">
      <c r="A17" s="1"/>
      <c r="B17" s="24" t="s">
        <v>22</v>
      </c>
      <c r="C17" s="9">
        <f>-'Fane 4.1. Gen. krav - drift'!G49</f>
        <v>-172348.10579201631</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19560710.306399584</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9715900.5948083065</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56">
        <f>SUM(C23:C26)</f>
        <v>0</v>
      </c>
      <c r="D27" s="11" t="s">
        <v>3</v>
      </c>
      <c r="E27" s="1"/>
    </row>
    <row r="28" spans="1:5" ht="15" customHeight="1" x14ac:dyDescent="0.25">
      <c r="A28" s="1"/>
      <c r="B28" s="26" t="s">
        <v>117</v>
      </c>
      <c r="C28" s="52"/>
      <c r="D28" s="19"/>
      <c r="E28" s="1"/>
    </row>
    <row r="29" spans="1:5" x14ac:dyDescent="0.25">
      <c r="A29" s="1"/>
      <c r="B29" s="69" t="s">
        <v>118</v>
      </c>
      <c r="C29" s="10">
        <f>'Fane 7. Kontrol af ØR2022'!E15</f>
        <v>-170462.85620387644</v>
      </c>
      <c r="D29" s="11" t="s">
        <v>3</v>
      </c>
      <c r="E29" s="1"/>
    </row>
    <row r="30" spans="1:5" x14ac:dyDescent="0.25">
      <c r="A30" s="1"/>
      <c r="B30" s="26" t="s">
        <v>138</v>
      </c>
      <c r="C30" s="52"/>
      <c r="D30" s="19"/>
      <c r="E30" s="1"/>
    </row>
    <row r="31" spans="1:5" x14ac:dyDescent="0.25">
      <c r="A31" s="1"/>
      <c r="B31" s="69" t="s">
        <v>139</v>
      </c>
      <c r="C31" s="10">
        <f>'Fane 8. Skattesagen'!G13</f>
        <v>0</v>
      </c>
      <c r="D31" s="11" t="s">
        <v>3</v>
      </c>
      <c r="E31" s="1"/>
    </row>
    <row r="32" spans="1:5" x14ac:dyDescent="0.25">
      <c r="A32" s="1"/>
      <c r="B32" s="26" t="s">
        <v>264</v>
      </c>
      <c r="C32" s="52"/>
      <c r="D32" s="19"/>
      <c r="E32" s="1"/>
    </row>
    <row r="33" spans="1:5" x14ac:dyDescent="0.25">
      <c r="A33" s="1"/>
      <c r="B33" s="69" t="s">
        <v>265</v>
      </c>
      <c r="C33" s="10">
        <v>546085.40239370358</v>
      </c>
      <c r="D33" s="11" t="s">
        <v>3</v>
      </c>
      <c r="E33" s="1"/>
    </row>
    <row r="34" spans="1:5" x14ac:dyDescent="0.25">
      <c r="A34" s="1"/>
      <c r="B34" s="51" t="s">
        <v>126</v>
      </c>
      <c r="C34" s="33">
        <f>SUM(C19,C21,C27,C29,C31,C33)</f>
        <v>29652233.447397716</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2HHBPYtSrZAxfs5DmJ2F7RcWGYQ1YCEUq2cInGsSa/5rQ8+K/1hD44RAlJKnu0wdM8lLVTPG/Yd8kqCzKjScA==" saltValue="9NY2/aVq52K+uDEGKRUgo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19560710.306399584</v>
      </c>
      <c r="D8" s="8" t="s">
        <v>3</v>
      </c>
      <c r="E8" s="1"/>
    </row>
    <row r="9" spans="1:5" ht="15" customHeight="1" x14ac:dyDescent="0.25">
      <c r="A9" s="1"/>
      <c r="B9" s="29" t="s">
        <v>17</v>
      </c>
      <c r="C9" s="9">
        <f>SUM(C8:C8)*'Fane 13. Nøgletal'!C16</f>
        <v>1580505.3927570863</v>
      </c>
      <c r="D9" s="8" t="s">
        <v>3</v>
      </c>
      <c r="E9" s="1"/>
    </row>
    <row r="10" spans="1:5" ht="15" customHeight="1" x14ac:dyDescent="0.25">
      <c r="A10" s="1"/>
      <c r="B10" s="29" t="s">
        <v>9</v>
      </c>
      <c r="C10" s="9">
        <f>-SUM(C8:C9)*'Fane 5. Individuelt eff. krav'!G9</f>
        <v>-320472.11740890861</v>
      </c>
      <c r="D10" s="8" t="s">
        <v>3</v>
      </c>
      <c r="E10" s="1"/>
    </row>
    <row r="11" spans="1:5" ht="15" customHeight="1" x14ac:dyDescent="0.25">
      <c r="A11" s="1"/>
      <c r="B11" s="29" t="s">
        <v>22</v>
      </c>
      <c r="C11" s="9">
        <f>-'Fane 4.1. Gen. krav - drift'!G54</f>
        <v>-182548.35608521101</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20638195.225662552</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10500945.362868818</v>
      </c>
      <c r="D15" s="11" t="s">
        <v>3</v>
      </c>
      <c r="E15" s="1"/>
    </row>
    <row r="16" spans="1:5" x14ac:dyDescent="0.25">
      <c r="A16" s="1"/>
      <c r="B16" s="26" t="s">
        <v>117</v>
      </c>
      <c r="C16" s="52"/>
      <c r="D16" s="19"/>
      <c r="E16" s="1"/>
    </row>
    <row r="17" spans="1:5" ht="15" customHeight="1" x14ac:dyDescent="0.25">
      <c r="A17" s="1"/>
      <c r="B17" s="69" t="s">
        <v>118</v>
      </c>
      <c r="C17" s="10">
        <f>'Fane 7. Kontrol af ØR2022'!E33</f>
        <v>-84979.79411454685</v>
      </c>
      <c r="D17" s="11" t="s">
        <v>3</v>
      </c>
      <c r="E17" s="1"/>
    </row>
    <row r="18" spans="1:5" x14ac:dyDescent="0.25">
      <c r="A18" s="1"/>
      <c r="B18" s="26" t="s">
        <v>138</v>
      </c>
      <c r="C18" s="52"/>
      <c r="D18" s="19"/>
      <c r="E18" s="1"/>
    </row>
    <row r="19" spans="1:5" x14ac:dyDescent="0.25">
      <c r="A19" s="1"/>
      <c r="B19" s="69" t="s">
        <v>139</v>
      </c>
      <c r="C19" s="10">
        <f>'Fane 8. Skattesagen'!G13</f>
        <v>0</v>
      </c>
      <c r="D19" s="11" t="s">
        <v>3</v>
      </c>
      <c r="E19" s="1"/>
    </row>
    <row r="20" spans="1:5" x14ac:dyDescent="0.25">
      <c r="A20" s="1"/>
      <c r="B20" s="51" t="s">
        <v>128</v>
      </c>
      <c r="C20" s="12">
        <f>SUM(C13,C15,C17,C19)</f>
        <v>31054160.794416822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UX96Brue3oVKtoNYn1A9NAk9bK7mhjajJArZXovNav4r9PJWc6LAAQLZF5r2InN+it5/UcafM/cTFQcFfdzOg==" saltValue="EhwleQXcRn8jGAeZIOCOg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20638195.225662552</v>
      </c>
      <c r="D8" s="8" t="s">
        <v>3</v>
      </c>
      <c r="E8" s="1"/>
    </row>
    <row r="9" spans="1:5" ht="15" customHeight="1" x14ac:dyDescent="0.25">
      <c r="A9" s="1"/>
      <c r="B9" s="29" t="s">
        <v>17</v>
      </c>
      <c r="C9" s="9">
        <f>SUM(C8:C8)*'Fane 13. Nøgletal'!C16</f>
        <v>1667566.1742335341</v>
      </c>
      <c r="D9" s="8" t="s">
        <v>3</v>
      </c>
      <c r="E9" s="1"/>
    </row>
    <row r="10" spans="1:5" ht="15" customHeight="1" x14ac:dyDescent="0.25">
      <c r="A10" s="1"/>
      <c r="B10" s="29" t="s">
        <v>9</v>
      </c>
      <c r="C10" s="9">
        <f>-SUM(C8:C9)*'Fane 5. Individuelt eff. krav'!G9</f>
        <v>-338125.04862375301</v>
      </c>
      <c r="D10" s="8" t="s">
        <v>3</v>
      </c>
      <c r="E10" s="1"/>
    </row>
    <row r="11" spans="1:5" ht="15" customHeight="1" x14ac:dyDescent="0.25">
      <c r="A11" s="1"/>
      <c r="B11" s="29" t="s">
        <v>22</v>
      </c>
      <c r="C11" s="9">
        <f>-'Fane 4.1. Gen. krav - drift'!G59</f>
        <v>-193352.29799175815</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21774284.053280577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11349421.748188617</v>
      </c>
      <c r="D15" s="11" t="s">
        <v>3</v>
      </c>
      <c r="E15" s="1"/>
    </row>
    <row r="16" spans="1:5" x14ac:dyDescent="0.25">
      <c r="A16" s="1"/>
      <c r="B16" s="51" t="s">
        <v>117</v>
      </c>
      <c r="C16" s="52"/>
      <c r="D16" s="19"/>
      <c r="E16" s="1"/>
    </row>
    <row r="17" spans="1:5" x14ac:dyDescent="0.25">
      <c r="A17" s="1"/>
      <c r="B17" s="53" t="s">
        <v>118</v>
      </c>
      <c r="C17" s="10">
        <f>'Fane 7. Kontrol af ØR2022'!E33</f>
        <v>-84979.79411454685</v>
      </c>
      <c r="D17" s="11" t="s">
        <v>3</v>
      </c>
      <c r="E17" s="1"/>
    </row>
    <row r="18" spans="1:5" ht="15" customHeight="1" x14ac:dyDescent="0.25">
      <c r="A18" s="1"/>
      <c r="B18" s="26" t="s">
        <v>138</v>
      </c>
      <c r="C18" s="52"/>
      <c r="D18" s="19"/>
      <c r="E18" s="1"/>
    </row>
    <row r="19" spans="1:5" ht="15" customHeight="1" x14ac:dyDescent="0.25">
      <c r="A19" s="1"/>
      <c r="B19" s="69" t="s">
        <v>139</v>
      </c>
      <c r="C19" s="10">
        <f>'Fane 8. Skattesagen'!G14</f>
        <v>0</v>
      </c>
      <c r="D19" s="11" t="s">
        <v>3</v>
      </c>
      <c r="E19" s="1"/>
    </row>
    <row r="20" spans="1:5" x14ac:dyDescent="0.25">
      <c r="A20" s="1"/>
      <c r="B20" s="51" t="s">
        <v>143</v>
      </c>
      <c r="C20" s="12">
        <f>SUM(C13,C15,C17,C19)</f>
        <v>33038726.007354647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jskHmfjZkCs+sL+KW+dap+ZCYXQDoRnbl8Sj38Cs/P2qpXf2wh5XBIYhRnPGMQ2x4aR/39vjMgY7gTXHti2AA==" saltValue="5mTgK6UbXD2o0yfkweQGy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21774284.053280577</v>
      </c>
      <c r="D8" s="8" t="s">
        <v>3</v>
      </c>
      <c r="E8" s="1"/>
    </row>
    <row r="9" spans="1:5" ht="15" customHeight="1" x14ac:dyDescent="0.25">
      <c r="A9" s="1"/>
      <c r="B9" s="29" t="s">
        <v>17</v>
      </c>
      <c r="C9" s="9">
        <f>SUM(C8:C8)*'Fane 13. Nøgletal'!C16</f>
        <v>1759362.1515050705</v>
      </c>
      <c r="D9" s="8" t="s">
        <v>3</v>
      </c>
      <c r="E9" s="1"/>
    </row>
    <row r="10" spans="1:5" ht="15" customHeight="1" x14ac:dyDescent="0.25">
      <c r="A10" s="1"/>
      <c r="B10" s="29" t="s">
        <v>9</v>
      </c>
      <c r="C10" s="9">
        <f>-SUM(C8:C9)*'Fane 5. Individuelt eff. krav'!G9</f>
        <v>-356738.11463456333</v>
      </c>
      <c r="D10" s="8" t="s">
        <v>3</v>
      </c>
      <c r="E10" s="1"/>
    </row>
    <row r="11" spans="1:5" ht="15" customHeight="1" x14ac:dyDescent="0.25">
      <c r="A11" s="1"/>
      <c r="B11" s="29" t="s">
        <v>22</v>
      </c>
      <c r="C11" s="9">
        <f>-'Fane 4.1. Gen. krav - drift'!G64</f>
        <v>-204795.66039610235</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22972112.429754984</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12266455.025442258</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9" t="s">
        <v>139</v>
      </c>
      <c r="C19" s="10">
        <f>'Fane 8. Skattesagen'!G15</f>
        <v>0</v>
      </c>
      <c r="D19" s="11" t="s">
        <v>3</v>
      </c>
      <c r="E19" s="1"/>
    </row>
    <row r="20" spans="1:5" x14ac:dyDescent="0.25">
      <c r="A20" s="1"/>
      <c r="B20" s="51" t="s">
        <v>205</v>
      </c>
      <c r="C20" s="12">
        <f>SUM(C13,C15,C17,C19)</f>
        <v>35238567.455197245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xc7BV3U2A0HXV9AARxaZGtijzwnw1uqsI+32Wz9yf33J+bOjjopldyHJXDijc19Whuh4feL21PJ+TmoUNb+2A==" saltValue="I9Zw/C9CRvyZix7oqESQM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18886200.528299376</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672348.73880745785</v>
      </c>
      <c r="D15" s="8" t="s">
        <v>3</v>
      </c>
      <c r="E15" s="1"/>
    </row>
    <row r="16" spans="1:5" x14ac:dyDescent="0.25">
      <c r="A16" s="1"/>
      <c r="B16" s="24" t="s">
        <v>9</v>
      </c>
      <c r="C16" s="9">
        <v>-296481.04377111181</v>
      </c>
      <c r="D16" s="8" t="s">
        <v>3</v>
      </c>
      <c r="E16" s="1"/>
    </row>
    <row r="17" spans="1:5" x14ac:dyDescent="0.25">
      <c r="A17" s="1"/>
      <c r="B17" s="24" t="s">
        <v>22</v>
      </c>
      <c r="C17" s="9">
        <v>-166136.19127683082</v>
      </c>
      <c r="D17" s="8" t="s">
        <v>3</v>
      </c>
      <c r="E17" s="1"/>
    </row>
    <row r="18" spans="1:5" x14ac:dyDescent="0.25">
      <c r="A18" s="1"/>
      <c r="B18" s="24" t="s">
        <v>23</v>
      </c>
      <c r="C18" s="9">
        <v>0</v>
      </c>
      <c r="D18" s="8" t="s">
        <v>3</v>
      </c>
      <c r="E18" s="1"/>
    </row>
    <row r="19" spans="1:5" x14ac:dyDescent="0.25">
      <c r="A19" s="1"/>
      <c r="B19" s="70" t="s">
        <v>19</v>
      </c>
      <c r="C19" s="10">
        <v>19095932.032058895</v>
      </c>
      <c r="D19" s="11" t="s">
        <v>3</v>
      </c>
      <c r="E19" s="1"/>
    </row>
    <row r="20" spans="1:5" x14ac:dyDescent="0.25">
      <c r="A20" s="1"/>
      <c r="B20" s="51" t="s">
        <v>11</v>
      </c>
      <c r="C20" s="52"/>
      <c r="D20" s="19"/>
      <c r="E20" s="1"/>
    </row>
    <row r="21" spans="1:5" x14ac:dyDescent="0.25">
      <c r="A21" s="1"/>
      <c r="B21" s="53" t="s">
        <v>11</v>
      </c>
      <c r="C21" s="10">
        <v>8720149.6528693624</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6">
        <v>0</v>
      </c>
      <c r="D27" s="11" t="s">
        <v>3</v>
      </c>
      <c r="E27" s="1"/>
    </row>
    <row r="28" spans="1:5" x14ac:dyDescent="0.25">
      <c r="A28" s="1"/>
      <c r="B28" s="26" t="s">
        <v>117</v>
      </c>
      <c r="C28" s="52"/>
      <c r="D28" s="19"/>
      <c r="E28" s="1"/>
    </row>
    <row r="29" spans="1:5" x14ac:dyDescent="0.25">
      <c r="A29" s="1"/>
      <c r="B29" s="69" t="s">
        <v>118</v>
      </c>
      <c r="C29" s="10">
        <v>-170462.85620387644</v>
      </c>
      <c r="D29" s="11" t="s">
        <v>3</v>
      </c>
      <c r="E29" s="1"/>
    </row>
    <row r="30" spans="1:5" x14ac:dyDescent="0.25">
      <c r="A30" s="1"/>
      <c r="B30" s="26" t="s">
        <v>138</v>
      </c>
      <c r="C30" s="52"/>
      <c r="D30" s="19"/>
      <c r="E30" s="1"/>
    </row>
    <row r="31" spans="1:5" x14ac:dyDescent="0.25">
      <c r="A31" s="1"/>
      <c r="B31" s="69" t="s">
        <v>139</v>
      </c>
      <c r="C31" s="10">
        <v>0</v>
      </c>
      <c r="D31" s="11" t="s">
        <v>3</v>
      </c>
      <c r="E31" s="1"/>
    </row>
    <row r="32" spans="1:5" x14ac:dyDescent="0.25">
      <c r="A32" s="1"/>
      <c r="B32" s="51" t="s">
        <v>239</v>
      </c>
      <c r="C32" s="33">
        <v>27645618.828724381</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2UzxhVKHJiAQ4unJAZ62fzzP5+iJRdRtSVhRNyiWrPWHp03hj1vNCl1K6Bz+rFc6HBa4vfvxjOIwX3vYLCYYUQ==" saltValue="0yTR63+YKeACGlN0PBh77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8439482</v>
      </c>
      <c r="H5" s="14" t="s">
        <v>3</v>
      </c>
      <c r="I5" s="1"/>
    </row>
    <row r="6" spans="1:9" x14ac:dyDescent="0.25">
      <c r="A6" s="1"/>
      <c r="B6" s="98" t="s">
        <v>37</v>
      </c>
      <c r="C6" s="99"/>
      <c r="D6" s="99"/>
      <c r="E6" s="99"/>
      <c r="F6" s="100"/>
      <c r="G6" s="22">
        <f>G5*'Fane 13. Nøgletal'!C33</f>
        <v>168789.64</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8375730.1529719997</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167514.60305944001</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8346934.3927060813</v>
      </c>
      <c r="H16" s="14" t="s">
        <v>3</v>
      </c>
      <c r="I16" s="1"/>
    </row>
    <row r="17" spans="1:9" x14ac:dyDescent="0.25">
      <c r="A17" s="1"/>
      <c r="B17" s="98" t="s">
        <v>100</v>
      </c>
      <c r="C17" s="99"/>
      <c r="D17" s="99"/>
      <c r="E17" s="99"/>
      <c r="F17" s="100"/>
      <c r="G17" s="47">
        <v>-6.7408042735799742E-2</v>
      </c>
      <c r="H17" s="14" t="s">
        <v>3</v>
      </c>
      <c r="I17" s="1"/>
    </row>
    <row r="18" spans="1:9" x14ac:dyDescent="0.25">
      <c r="A18" s="1"/>
      <c r="B18" s="101" t="s">
        <v>229</v>
      </c>
      <c r="C18" s="102"/>
      <c r="D18" s="102"/>
      <c r="E18" s="102"/>
      <c r="F18" s="103"/>
      <c r="G18" s="47">
        <v>0</v>
      </c>
      <c r="H18" s="14" t="s">
        <v>3</v>
      </c>
      <c r="I18" s="1"/>
    </row>
    <row r="19" spans="1:9" x14ac:dyDescent="0.25">
      <c r="A19" s="1"/>
      <c r="B19" s="98" t="s">
        <v>41</v>
      </c>
      <c r="C19" s="99"/>
      <c r="D19" s="99"/>
      <c r="E19" s="99"/>
      <c r="F19" s="100"/>
      <c r="G19" s="22">
        <f>SUM(G16:G18)*'Fane 13. Nøgletal'!C33</f>
        <v>166938.68650596077</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8318237.5650876621</v>
      </c>
      <c r="H23" s="14" t="s">
        <v>3</v>
      </c>
      <c r="I23" s="1"/>
    </row>
    <row r="24" spans="1:9" x14ac:dyDescent="0.25">
      <c r="A24" s="1"/>
      <c r="B24" s="101" t="s">
        <v>230</v>
      </c>
      <c r="C24" s="102"/>
      <c r="D24" s="102"/>
      <c r="E24" s="102"/>
      <c r="F24" s="103"/>
      <c r="G24" s="47">
        <v>0</v>
      </c>
      <c r="H24" s="14" t="s">
        <v>3</v>
      </c>
      <c r="I24" s="1"/>
    </row>
    <row r="25" spans="1:9" x14ac:dyDescent="0.25">
      <c r="A25" s="1"/>
      <c r="B25" s="98" t="s">
        <v>43</v>
      </c>
      <c r="C25" s="99"/>
      <c r="D25" s="99"/>
      <c r="E25" s="99"/>
      <c r="F25" s="100"/>
      <c r="G25" s="22">
        <f>(G23+G24)*'Fane 13. Nøgletal'!C33</f>
        <v>166364.75130175325</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8251325.6621140968</v>
      </c>
      <c r="H29" s="14" t="s">
        <v>3</v>
      </c>
      <c r="I29" s="1"/>
    </row>
    <row r="30" spans="1:9" x14ac:dyDescent="0.25">
      <c r="A30" s="1"/>
      <c r="B30" s="98" t="s">
        <v>231</v>
      </c>
      <c r="C30" s="99"/>
      <c r="D30" s="99"/>
      <c r="E30" s="99"/>
      <c r="F30" s="100"/>
      <c r="G30" s="47">
        <v>0</v>
      </c>
      <c r="H30" s="14" t="s">
        <v>3</v>
      </c>
      <c r="I30" s="1"/>
    </row>
    <row r="31" spans="1:9" x14ac:dyDescent="0.25">
      <c r="A31" s="1"/>
      <c r="B31" s="98" t="s">
        <v>115</v>
      </c>
      <c r="C31" s="99"/>
      <c r="D31" s="99"/>
      <c r="E31" s="99"/>
      <c r="F31" s="100"/>
      <c r="G31" s="22">
        <f>(G29+G30)*'Fane 13. Nøgletal'!C33</f>
        <v>165026.51324228194</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8184951.9984880509</v>
      </c>
      <c r="H35" s="14" t="s">
        <v>3</v>
      </c>
      <c r="I35" s="1"/>
    </row>
    <row r="36" spans="1:9" x14ac:dyDescent="0.25">
      <c r="A36" s="1"/>
      <c r="B36" s="98" t="s">
        <v>232</v>
      </c>
      <c r="C36" s="99"/>
      <c r="D36" s="99"/>
      <c r="E36" s="99"/>
      <c r="F36" s="100"/>
      <c r="G36" s="47">
        <v>0</v>
      </c>
      <c r="H36" s="14" t="s">
        <v>3</v>
      </c>
      <c r="I36" s="1"/>
    </row>
    <row r="37" spans="1:9" x14ac:dyDescent="0.25">
      <c r="A37" s="1"/>
      <c r="B37" s="98" t="s">
        <v>123</v>
      </c>
      <c r="C37" s="99"/>
      <c r="D37" s="99"/>
      <c r="E37" s="99"/>
      <c r="F37" s="100"/>
      <c r="G37" s="22">
        <f>(G35+G36)*'Fane 13. Nøgletal'!C33</f>
        <v>163699.03996976101</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8306809.5638415413</v>
      </c>
      <c r="H41" s="14" t="s">
        <v>3</v>
      </c>
      <c r="I41" s="1"/>
    </row>
    <row r="42" spans="1:9" x14ac:dyDescent="0.25">
      <c r="A42" s="1"/>
      <c r="B42" s="98" t="s">
        <v>156</v>
      </c>
      <c r="C42" s="99"/>
      <c r="D42" s="99"/>
      <c r="E42" s="99"/>
      <c r="F42" s="100"/>
      <c r="G42" s="55">
        <v>0</v>
      </c>
      <c r="H42" s="14" t="s">
        <v>3</v>
      </c>
      <c r="I42" s="1"/>
    </row>
    <row r="43" spans="1:9" x14ac:dyDescent="0.25">
      <c r="A43" s="1"/>
      <c r="B43" s="98" t="s">
        <v>166</v>
      </c>
      <c r="C43" s="99"/>
      <c r="D43" s="99"/>
      <c r="E43" s="99"/>
      <c r="F43" s="100"/>
      <c r="G43" s="22">
        <f>(G41+G42)*'Fane 13. Nøgletal'!C33</f>
        <v>166136.19127683082</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8430481.3446280155</v>
      </c>
      <c r="H47" s="14" t="s">
        <v>3</v>
      </c>
      <c r="I47" s="1"/>
    </row>
    <row r="48" spans="1:9" x14ac:dyDescent="0.25">
      <c r="A48" s="1"/>
      <c r="B48" s="98" t="s">
        <v>206</v>
      </c>
      <c r="C48" s="99"/>
      <c r="D48" s="99"/>
      <c r="E48" s="99"/>
      <c r="F48" s="100"/>
      <c r="G48" s="22">
        <f>('Fane 2.1. Økonomisk ramme 2024'!C9+'Fane 2.1. Økonomisk ramme 2024'!C11+'Fane 2.1. Økonomisk ramme 2024'!C13)*(1+'Fane 13. Nøgletal'!C16)</f>
        <v>186923.9449728</v>
      </c>
      <c r="H48" s="14" t="s">
        <v>3</v>
      </c>
      <c r="I48" s="1"/>
    </row>
    <row r="49" spans="1:9" x14ac:dyDescent="0.25">
      <c r="A49" s="1"/>
      <c r="B49" s="98" t="s">
        <v>167</v>
      </c>
      <c r="C49" s="99"/>
      <c r="D49" s="99"/>
      <c r="E49" s="99"/>
      <c r="F49" s="100"/>
      <c r="G49" s="22">
        <f>G47*'Fane 13. Nøgletal'!C33+G48*'Fane 13. Nøgletal'!C33</f>
        <v>172348.10579201631</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9127417.8042605501</v>
      </c>
      <c r="H53" s="14" t="s">
        <v>3</v>
      </c>
      <c r="I53" s="1"/>
    </row>
    <row r="54" spans="1:9" x14ac:dyDescent="0.25">
      <c r="A54" s="1"/>
      <c r="B54" s="98" t="s">
        <v>135</v>
      </c>
      <c r="C54" s="99"/>
      <c r="D54" s="99"/>
      <c r="E54" s="99"/>
      <c r="F54" s="100"/>
      <c r="G54" s="22">
        <f>(G53)*'Fane 13. Nøgletal'!C33</f>
        <v>182548.35608521101</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9667614.8995879069</v>
      </c>
      <c r="H58" s="14" t="s">
        <v>3</v>
      </c>
      <c r="I58" s="1"/>
    </row>
    <row r="59" spans="1:9" x14ac:dyDescent="0.25">
      <c r="A59" s="1"/>
      <c r="B59" s="98" t="s">
        <v>146</v>
      </c>
      <c r="C59" s="99"/>
      <c r="D59" s="99"/>
      <c r="E59" s="99"/>
      <c r="F59" s="100"/>
      <c r="G59" s="22">
        <f>(G58)*'Fane 13. Nøgletal'!C33</f>
        <v>193352.29799175815</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10239783.019805117</v>
      </c>
      <c r="H63" s="14" t="s">
        <v>3</v>
      </c>
      <c r="I63" s="1"/>
    </row>
    <row r="64" spans="1:9" x14ac:dyDescent="0.25">
      <c r="A64" s="1"/>
      <c r="B64" s="98" t="s">
        <v>222</v>
      </c>
      <c r="C64" s="99"/>
      <c r="D64" s="99"/>
      <c r="E64" s="99"/>
      <c r="F64" s="100"/>
      <c r="G64" s="22">
        <f>(G63)*'Fane 13. Nøgletal'!C33</f>
        <v>204795.66039610235</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uZFY7CvvFSj95N7tnlkXdxZ84qGMUSXFjEjpAuMNU52ZNbAR73OAOE5qmg5hXPFP8wxpcWa+IvSI+xiJA9SHIw==" saltValue="gj2yJeA8Ej/OEmmDuKhE5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11804814</v>
      </c>
      <c r="H5" s="14" t="s">
        <v>3</v>
      </c>
      <c r="I5" s="1"/>
    </row>
    <row r="6" spans="1:9" x14ac:dyDescent="0.25">
      <c r="A6" s="1"/>
      <c r="B6" s="98" t="s">
        <v>49</v>
      </c>
      <c r="C6" s="99"/>
      <c r="D6" s="99"/>
      <c r="E6" s="99"/>
      <c r="F6" s="100"/>
      <c r="G6" s="22">
        <f>G5*'Fane 13. Nøgletal'!C21</f>
        <v>107423.80740000001</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11845947.048046021</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107798.1181372188</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11936523.646824261</v>
      </c>
      <c r="H16" s="14" t="s">
        <v>3</v>
      </c>
      <c r="I16" s="1"/>
    </row>
    <row r="17" spans="1:9" x14ac:dyDescent="0.25">
      <c r="A17" s="1"/>
      <c r="B17" s="98" t="s">
        <v>101</v>
      </c>
      <c r="C17" s="99"/>
      <c r="D17" s="99"/>
      <c r="E17" s="99"/>
      <c r="F17" s="100"/>
      <c r="G17" s="47">
        <v>-303053.52458544972</v>
      </c>
      <c r="H17" s="14" t="s">
        <v>3</v>
      </c>
      <c r="I17" s="1"/>
    </row>
    <row r="18" spans="1:9" x14ac:dyDescent="0.25">
      <c r="A18" s="1"/>
      <c r="B18" s="101" t="s">
        <v>58</v>
      </c>
      <c r="C18" s="102"/>
      <c r="D18" s="102"/>
      <c r="E18" s="102"/>
      <c r="F18" s="103"/>
      <c r="G18" s="47">
        <v>0</v>
      </c>
      <c r="H18" s="14" t="s">
        <v>3</v>
      </c>
      <c r="I18" s="1"/>
    </row>
    <row r="19" spans="1:9" x14ac:dyDescent="0.25">
      <c r="A19" s="1"/>
      <c r="B19" s="98" t="s">
        <v>59</v>
      </c>
      <c r="C19" s="99"/>
      <c r="D19" s="99"/>
      <c r="E19" s="99"/>
      <c r="F19" s="100"/>
      <c r="G19" s="22">
        <f>(G16+G17+G18)*'Fane 13. Nøgletal'!C23</f>
        <v>101211.19006347765</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11727154.108129095</v>
      </c>
      <c r="H23" s="14" t="s">
        <v>3</v>
      </c>
      <c r="I23" s="1"/>
    </row>
    <row r="24" spans="1:9" x14ac:dyDescent="0.25">
      <c r="A24" s="1"/>
      <c r="B24" s="101" t="s">
        <v>62</v>
      </c>
      <c r="C24" s="102"/>
      <c r="D24" s="102"/>
      <c r="E24" s="102"/>
      <c r="F24" s="103"/>
      <c r="G24" s="47">
        <v>0</v>
      </c>
      <c r="H24" s="14" t="s">
        <v>3</v>
      </c>
      <c r="I24" s="1"/>
    </row>
    <row r="25" spans="1:9" x14ac:dyDescent="0.25">
      <c r="A25" s="1"/>
      <c r="B25" s="98" t="s">
        <v>63</v>
      </c>
      <c r="C25" s="99"/>
      <c r="D25" s="99"/>
      <c r="E25" s="99"/>
      <c r="F25" s="100"/>
      <c r="G25" s="22">
        <f>G23*'Fane 13. Nøgletal'!C23+G24*'Fane 13. Nøgletal'!C24</f>
        <v>102026.24074072312</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11766954.427370509</v>
      </c>
      <c r="H29" s="14" t="s">
        <v>3</v>
      </c>
      <c r="I29" s="1"/>
    </row>
    <row r="30" spans="1:9" x14ac:dyDescent="0.25">
      <c r="A30" s="1"/>
      <c r="B30" s="98" t="s">
        <v>113</v>
      </c>
      <c r="C30" s="99"/>
      <c r="D30" s="99"/>
      <c r="E30" s="99"/>
      <c r="F30" s="100"/>
      <c r="G30" s="47">
        <v>0</v>
      </c>
      <c r="H30" s="14" t="s">
        <v>3</v>
      </c>
      <c r="I30" s="1"/>
    </row>
    <row r="31" spans="1:9" x14ac:dyDescent="0.25">
      <c r="A31" s="1"/>
      <c r="B31" s="98" t="s">
        <v>120</v>
      </c>
      <c r="C31" s="99"/>
      <c r="D31" s="99"/>
      <c r="E31" s="99"/>
      <c r="F31" s="100"/>
      <c r="G31" s="22">
        <f>(G29+G30)*'Fane 13. Nøgletal'!C25</f>
        <v>323591.24675268901</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11582972.211421357</v>
      </c>
      <c r="H35" s="14" t="s">
        <v>3</v>
      </c>
      <c r="I35" s="1"/>
    </row>
    <row r="36" spans="1:9" x14ac:dyDescent="0.25">
      <c r="A36" s="1"/>
      <c r="B36" s="98" t="s">
        <v>129</v>
      </c>
      <c r="C36" s="99"/>
      <c r="D36" s="99"/>
      <c r="E36" s="99"/>
      <c r="F36" s="100"/>
      <c r="G36" s="55">
        <v>0</v>
      </c>
      <c r="H36" s="14" t="s">
        <v>3</v>
      </c>
      <c r="I36" s="1"/>
    </row>
    <row r="37" spans="1:9" x14ac:dyDescent="0.25">
      <c r="A37" s="1"/>
      <c r="B37" s="98" t="s">
        <v>125</v>
      </c>
      <c r="C37" s="99"/>
      <c r="D37" s="99"/>
      <c r="E37" s="99"/>
      <c r="F37" s="100"/>
      <c r="G37" s="22">
        <f>G35*'Fane 13. Nøgletal'!C25+G36*'Fane 13. Nøgletal'!C26</f>
        <v>318531.73581408733</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11665454.556538889</v>
      </c>
      <c r="H41" s="14" t="s">
        <v>3</v>
      </c>
      <c r="I41" s="1"/>
    </row>
    <row r="42" spans="1:9" x14ac:dyDescent="0.25">
      <c r="A42" s="1"/>
      <c r="B42" s="98" t="s">
        <v>169</v>
      </c>
      <c r="C42" s="99"/>
      <c r="D42" s="99"/>
      <c r="E42" s="99"/>
      <c r="F42" s="100"/>
      <c r="G42" s="9">
        <v>0</v>
      </c>
      <c r="H42" s="14" t="s">
        <v>3</v>
      </c>
      <c r="I42" s="1"/>
    </row>
    <row r="43" spans="1:9" x14ac:dyDescent="0.25">
      <c r="A43" s="1"/>
      <c r="B43" s="98" t="s">
        <v>65</v>
      </c>
      <c r="C43" s="99"/>
      <c r="D43" s="99"/>
      <c r="E43" s="99"/>
      <c r="F43" s="100"/>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12080744.738751674</v>
      </c>
      <c r="H47" s="14" t="s">
        <v>3</v>
      </c>
      <c r="I47" s="1"/>
    </row>
    <row r="48" spans="1:9" x14ac:dyDescent="0.25">
      <c r="A48" s="1"/>
      <c r="B48" s="98" t="s">
        <v>210</v>
      </c>
      <c r="C48" s="99"/>
      <c r="D48" s="99"/>
      <c r="E48" s="99"/>
      <c r="F48" s="100"/>
      <c r="G48" s="22">
        <f>('Fane 2.1. Økonomisk ramme 2024'!C10+'Fane 2.1. Økonomisk ramme 2024'!C12+'Fane 2.1. Økonomisk ramme 2024'!C14)*(1+'Fane 13. Nøgletal'!C16)</f>
        <v>74117.762208</v>
      </c>
      <c r="H48" s="14" t="s">
        <v>3</v>
      </c>
      <c r="I48" s="1"/>
    </row>
    <row r="49" spans="1:9" x14ac:dyDescent="0.25">
      <c r="A49" s="1"/>
      <c r="B49" s="98" t="s">
        <v>211</v>
      </c>
      <c r="C49" s="99"/>
      <c r="D49" s="99"/>
      <c r="E49" s="99"/>
      <c r="F49" s="100"/>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13136975.391037215</v>
      </c>
      <c r="H53" s="14" t="s">
        <v>3</v>
      </c>
      <c r="I53" s="1"/>
    </row>
    <row r="54" spans="1:9" x14ac:dyDescent="0.25">
      <c r="A54" s="1"/>
      <c r="B54" s="98" t="s">
        <v>132</v>
      </c>
      <c r="C54" s="99"/>
      <c r="D54" s="99"/>
      <c r="E54" s="99"/>
      <c r="F54" s="100"/>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14198443.002633022</v>
      </c>
      <c r="H58" s="14" t="s">
        <v>3</v>
      </c>
      <c r="I58" s="1"/>
    </row>
    <row r="59" spans="1:9" x14ac:dyDescent="0.25">
      <c r="A59" s="1"/>
      <c r="B59" s="98" t="s">
        <v>149</v>
      </c>
      <c r="C59" s="99"/>
      <c r="D59" s="99"/>
      <c r="E59" s="99"/>
      <c r="F59" s="100"/>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15345677.197245769</v>
      </c>
      <c r="H63" s="14" t="s">
        <v>3</v>
      </c>
      <c r="I63" s="1"/>
    </row>
    <row r="64" spans="1:9" x14ac:dyDescent="0.25">
      <c r="A64" s="1"/>
      <c r="B64" s="98" t="s">
        <v>225</v>
      </c>
      <c r="C64" s="99"/>
      <c r="D64" s="99"/>
      <c r="E64" s="99"/>
      <c r="F64" s="100"/>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FJy1GJBdmfJ3RCTvv5/hT5V7cw7tdzucTRuTK42GzoUC9Il9hsVtbaaqnhvAdKMtwiCcnmIc2UCLEgpn1QIHNA==" saltValue="tMwyO7mwk95C/1CT22Gu7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5" t="s">
        <v>150</v>
      </c>
      <c r="C9" s="66"/>
      <c r="D9" s="66"/>
      <c r="E9" s="66"/>
      <c r="F9" s="67"/>
      <c r="G9" s="60">
        <v>1.5158641866640258E-2</v>
      </c>
      <c r="H9" s="1"/>
    </row>
    <row r="10" spans="1:8" x14ac:dyDescent="0.25">
      <c r="A10" s="1"/>
      <c r="B10" s="51"/>
      <c r="C10" s="52"/>
      <c r="D10" s="52"/>
      <c r="E10" s="52"/>
      <c r="F10" s="52"/>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P0zZEyquHyqKO0cAGR/w+iosvjuzRoASwuzWuMJfnm4jEdVOGuv6RzFbxkmtFNgqMNgBcGsKr3DDZyRWuqjnsg==" saltValue="O14VlGHyfLH91ctWs8VFCA=="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2023-11-30T09:29:08Z</dcterms:modified>
</cp:coreProperties>
</file>