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Energi Viborg Vand AS (S014)\ØR2025\"/>
    </mc:Choice>
  </mc:AlternateContent>
  <xr:revisionPtr revIDLastSave="0" documentId="13_ncr:1_{26B8DCCB-5BFA-48BC-BF2F-FE905D014731}"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ØR2024'!$B$8:$D$40</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<sst xmlns="http://schemas.openxmlformats.org/spreadsheetml/2006/main" count="555" uniqueCount="240">
  <si>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</si>
  <si>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</si>
  <si>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</si>
  <si>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</si>
  <si>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</si>
  <si>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</si>
  <si>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</si>
  <si>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</si>
  <si>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</si>
  <si>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</si>
  <si>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</si>
  <si>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</si>
  <si>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</si>
  <si>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</si>
  <si>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</si>
  <si>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</si>
  <si>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</si>
  <si>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</si>
  <si>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</si>
  <si>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</si>
  <si>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</si>
  <si>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</si>
  <si>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</si>
  <si>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</si>
  <si>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</si>
  <si>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</si>
  <si>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</si>
  <si>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</si>
  <si>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</si>
  <si>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</si>
  <si>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</si>
  <si>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</si>
  <si>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</si>
  <si>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</si>
  <si>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</si>
  <si>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</si>
  <si>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</si>
  <si>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</si>
  <si>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</si>
  <si>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</si>
  <si>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</si>
  <si>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</si>
  <si>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</si>
  <si>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</si>
  <si>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</si>
  <si>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</si>
  <si>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</si>
  <si>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</si>
  <si>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</si>
  <si>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</si>
  <si>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</si>
  <si>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</si>
  <si>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</si>
  <si>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</si>
  <si>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</si>
  <si>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</si>
  <si>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</si>
  <si>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</si>
  <si>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</si>
  <si>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</si>
  <si>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</si>
  <si>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</si>
  <si>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</si>
  <si>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</si>
  <si>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</si>
  <si>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</si>
  <si>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</si>
  <si>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</si>
  <si>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</si>
  <si>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</si>
  <si>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</si>
  <si>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</si>
  <si>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</si>
  <si>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</si>
  <si>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</si>
  <si>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</si>
  <si>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</si>
  <si>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</si>
  <si>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</si>
  <si>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</si>
  <si>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</si>
  <si>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</si>
  <si>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</si>
  <si>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</si>
  <si>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</si>
  <si>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</si>
  <si>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</si>
  <si>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</si>
  <si>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</si>
  <si>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</si>
  <si>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</si>
  <si>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</si>
  <si>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</si>
  <si>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</si>
  <si>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</si>
  <si>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</si>
  <si>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</si>
  <si>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</si>
  <si>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</si>
  <si>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</si>
  <si>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</si>
  <si>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</si>
  <si>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</si>
  <si>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</si>
  <si>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</si>
  <si>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</si>
  <si>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</si>
  <si>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</si>
  <si>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</si>
  <si>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</si>
  <si>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</si>
  <si>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</si>
  <si>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</si>
  <si>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</si>
  <si>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</si>
  <si>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</si>
  <si>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</si>
  <si>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</si>
  <si>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</si>
  <si>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</si>
  <si>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</si>
  <si>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</si>
  <si>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</si>
  <si>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</si>
  <si>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</si>
  <si>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</si>
  <si>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</si>
  <si>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</si>
  <si>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</si>
  <si>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</si>
  <si>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</si>
  <si>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</si>
  <si>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</si>
  <si>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</si>
  <si>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</si>
  <si>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</si>
  <si>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</si>
  <si>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</si>
  <si>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</si>
  <si>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</si>
  <si>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</si>
  <si>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</si>
  <si>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</si>
  <si>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</si>
  <si>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</si>
  <si>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</si>
  <si>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</si>
  <si>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</si>
  <si>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</si>
  <si>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</si>
  <si>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</si>
  <si>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</si>
  <si>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</si>
  <si>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</si>
  <si>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</si>
  <si>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</si>
  <si>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</si>
  <si>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</si>
  <si>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</si>
  <si>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</si>
  <si>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</si>
  <si>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</si>
  <si>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</si>
  <si>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</si>
  <si>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</si>
  <si>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</si>
  <si>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</si>
  <si>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</si>
  <si>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</si>
  <si>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</si>
  <si>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</si>
  <si>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</si>
  <si>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</si>
  <si>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</si>
  <si>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</si>
  <si>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</si>
  <si>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</si>
  <si>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</si>
  <si>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</si>
  <si>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</si>
  <si>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</si>
  <si>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</si>
  <si>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</si>
  <si>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</si>
  <si>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</si>
  <si>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</si>
  <si>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</si>
  <si>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</si>
  <si>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</si>
  <si>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</si>
  <si>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</si>
  <si>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</si>
  <si>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</si>
  <si>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</si>
  <si>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</si>
  <si>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</si>
  <si>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</si>
  <si>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</si>
  <si>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</si>
  <si>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</si>
  <si>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</si>
  <si>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</si>
  <si>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</si>
  <si>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</si>
  <si>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</si>
  <si>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</si>
  <si>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</si>
  <si>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</si>
  <si>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</si>
  <si>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</si>
  <si>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</si>
  <si>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</si>
  <si>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</si>
  <si>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Justering af den økonomiske ramme</t>
  </si>
  <si>
    <t>Justering af den økonomiske ramme for stigende el-omkostninger</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</si>
  <si>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</si>
  <si>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</si>
  <si>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</si>
  <si>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</si>
  <si>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</si>
  <si>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</si>
  <si>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</si>
  <si>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</si>
  <si>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</si>
  <si>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</si>
  <si>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</si>
  <si>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</si>
  <si>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</si>
  <si>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Spildevandsafgift</t>
  </si>
  <si>
    <t>Afgift til Forsyningssekretariatet</t>
  </si>
  <si>
    <t>Køb af ydelser og produkter fra andre vandselskaber reguleret af vandsektorloven</t>
  </si>
  <si>
    <t>Ejendomsskatter</t>
  </si>
  <si>
    <t>Gebyr til Miljøstyrelsen</t>
  </si>
  <si>
    <t>Til statusmeddelelse for 2025</t>
  </si>
  <si>
    <t>Gasopsamling</t>
  </si>
  <si>
    <t>Recipientbeskyttelse</t>
  </si>
  <si>
    <t>Separering</t>
  </si>
  <si>
    <t>Serviceniveau</t>
  </si>
  <si>
    <t>Byggemodninger</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</si>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</sst>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6" t="s">
        <v>4</v>
      </c>
      <c r="D6" s="86"/>
      <c r="E6" s="86"/>
      <c r="F6" s="86"/>
      <c r="G6" s="3"/>
    </row>
    <row r="7" spans="1:7" ht="15" customHeight="1" x14ac:dyDescent="0.25">
      <c r="A7" s="1"/>
      <c r="B7" s="3"/>
      <c r="C7" s="86"/>
      <c r="D7" s="86"/>
      <c r="E7" s="86"/>
      <c r="F7" s="86"/>
      <c r="G7" s="3"/>
    </row>
    <row r="8" spans="1:7" ht="15.75" x14ac:dyDescent="0.25">
      <c r="A8" s="1"/>
      <c r="B8" s="4"/>
      <c r="C8" s="94" t="s">
        <v>233</v>
      </c>
      <c r="D8" s="94"/>
      <c r="E8" s="94"/>
      <c r="F8" s="94"/>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3" t="s">
        <v>5</v>
      </c>
      <c r="D11" s="93"/>
      <c r="E11" s="93"/>
      <c r="F11" s="93"/>
      <c r="G11" s="5"/>
    </row>
    <row r="12" spans="1:7" x14ac:dyDescent="0.25">
      <c r="A12" s="1"/>
      <c r="B12" s="1"/>
      <c r="C12" s="1"/>
      <c r="D12" s="1"/>
      <c r="E12" s="1"/>
      <c r="F12" s="1"/>
      <c r="G12" s="5"/>
    </row>
    <row r="13" spans="1:7" x14ac:dyDescent="0.25">
      <c r="A13" s="1"/>
      <c r="B13" s="6" t="s">
        <v>6</v>
      </c>
      <c r="C13" s="98" t="s">
        <v>127</v>
      </c>
      <c r="D13" s="99"/>
      <c r="E13" s="99"/>
      <c r="F13" s="100"/>
      <c r="G13" s="5"/>
    </row>
    <row r="14" spans="1:7" x14ac:dyDescent="0.25">
      <c r="A14" s="1"/>
      <c r="B14" s="6" t="s">
        <v>16</v>
      </c>
      <c r="C14" s="83" t="s">
        <v>186</v>
      </c>
      <c r="D14" s="84"/>
      <c r="E14" s="84"/>
      <c r="F14" s="85"/>
      <c r="G14" s="5"/>
    </row>
    <row r="15" spans="1:7" x14ac:dyDescent="0.25">
      <c r="A15" s="1"/>
      <c r="B15" s="6" t="s">
        <v>30</v>
      </c>
      <c r="C15" s="83" t="s">
        <v>149</v>
      </c>
      <c r="D15" s="84"/>
      <c r="E15" s="84"/>
      <c r="F15" s="85"/>
      <c r="G15" s="5"/>
    </row>
    <row r="16" spans="1:7" x14ac:dyDescent="0.25">
      <c r="A16" s="1"/>
      <c r="B16" s="6" t="s">
        <v>31</v>
      </c>
      <c r="C16" s="83" t="s">
        <v>151</v>
      </c>
      <c r="D16" s="84"/>
      <c r="E16" s="84"/>
      <c r="F16" s="85"/>
      <c r="G16" s="5"/>
    </row>
    <row r="17" spans="1:8" x14ac:dyDescent="0.25">
      <c r="A17" s="1"/>
      <c r="B17" s="6" t="s">
        <v>61</v>
      </c>
      <c r="C17" s="83" t="s">
        <v>152</v>
      </c>
      <c r="D17" s="84"/>
      <c r="E17" s="84"/>
      <c r="F17" s="85"/>
      <c r="G17" s="5"/>
    </row>
    <row r="18" spans="1:8" x14ac:dyDescent="0.25">
      <c r="A18" s="1"/>
      <c r="B18" s="6" t="s">
        <v>53</v>
      </c>
      <c r="C18" s="95" t="s">
        <v>45</v>
      </c>
      <c r="D18" s="96"/>
      <c r="E18" s="96"/>
      <c r="F18" s="97"/>
      <c r="G18" s="5"/>
    </row>
    <row r="19" spans="1:8" x14ac:dyDescent="0.25">
      <c r="A19" s="1"/>
      <c r="B19" s="6" t="s">
        <v>54</v>
      </c>
      <c r="C19" s="95" t="s">
        <v>46</v>
      </c>
      <c r="D19" s="96"/>
      <c r="E19" s="96"/>
      <c r="F19" s="97"/>
      <c r="G19" s="5"/>
    </row>
    <row r="20" spans="1:8" x14ac:dyDescent="0.25">
      <c r="A20" s="1"/>
      <c r="B20" s="6" t="s">
        <v>7</v>
      </c>
      <c r="C20" s="95" t="s">
        <v>10</v>
      </c>
      <c r="D20" s="96"/>
      <c r="E20" s="96"/>
      <c r="F20" s="97"/>
      <c r="G20" s="5"/>
    </row>
    <row r="21" spans="1:8" x14ac:dyDescent="0.25">
      <c r="A21" s="1"/>
      <c r="B21" s="6" t="s">
        <v>55</v>
      </c>
      <c r="C21" s="87" t="s">
        <v>12</v>
      </c>
      <c r="D21" s="88"/>
      <c r="E21" s="88"/>
      <c r="F21" s="89"/>
      <c r="G21" s="5"/>
    </row>
    <row r="22" spans="1:8" x14ac:dyDescent="0.25">
      <c r="A22" s="1"/>
      <c r="B22" s="6" t="s">
        <v>39</v>
      </c>
      <c r="C22" s="90" t="s">
        <v>153</v>
      </c>
      <c r="D22" s="91"/>
      <c r="E22" s="91"/>
      <c r="F22" s="92"/>
      <c r="G22" s="5"/>
    </row>
    <row r="23" spans="1:8" x14ac:dyDescent="0.25">
      <c r="A23" s="1"/>
      <c r="B23" s="6" t="s">
        <v>8</v>
      </c>
      <c r="C23" s="90" t="s">
        <v>112</v>
      </c>
      <c r="D23" s="91"/>
      <c r="E23" s="91"/>
      <c r="F23" s="92"/>
      <c r="G23" s="5"/>
    </row>
    <row r="24" spans="1:8" x14ac:dyDescent="0.25">
      <c r="A24" s="1"/>
      <c r="B24" s="6" t="s">
        <v>9</v>
      </c>
      <c r="C24" s="90" t="s">
        <v>154</v>
      </c>
      <c r="D24" s="91"/>
      <c r="E24" s="91"/>
      <c r="F24" s="92"/>
      <c r="G24" s="5"/>
    </row>
    <row r="25" spans="1:8" x14ac:dyDescent="0.25">
      <c r="A25" s="1"/>
      <c r="B25" s="6" t="s">
        <v>97</v>
      </c>
      <c r="C25" s="90" t="s">
        <v>91</v>
      </c>
      <c r="D25" s="91"/>
      <c r="E25" s="91"/>
      <c r="F25" s="92"/>
      <c r="G25" s="1"/>
    </row>
    <row r="26" spans="1:8" x14ac:dyDescent="0.25">
      <c r="A26" s="1"/>
      <c r="B26" s="6" t="s">
        <v>98</v>
      </c>
      <c r="C26" s="90" t="s">
        <v>40</v>
      </c>
      <c r="D26" s="91"/>
      <c r="E26" s="91"/>
      <c r="F26" s="92"/>
      <c r="G26" s="1"/>
    </row>
    <row r="27" spans="1:8" x14ac:dyDescent="0.25">
      <c r="A27" s="1"/>
      <c r="B27" s="6" t="s">
        <v>99</v>
      </c>
      <c r="C27" s="90" t="s">
        <v>41</v>
      </c>
      <c r="D27" s="91"/>
      <c r="E27" s="91"/>
      <c r="F27" s="92"/>
      <c r="G27" s="1"/>
    </row>
    <row r="28" spans="1:8" x14ac:dyDescent="0.25">
      <c r="A28" s="1"/>
      <c r="B28" s="6" t="s">
        <v>15</v>
      </c>
      <c r="C28" s="90" t="s">
        <v>42</v>
      </c>
      <c r="D28" s="91"/>
      <c r="E28" s="91"/>
      <c r="F28" s="92"/>
      <c r="G28" s="1"/>
      <c r="H28" s="2" t="s">
        <v>150</v>
      </c>
    </row>
    <row r="29" spans="1:8" x14ac:dyDescent="0.25">
      <c r="A29" s="1"/>
      <c r="B29" s="6" t="s">
        <v>33</v>
      </c>
      <c r="C29" s="90" t="s">
        <v>68</v>
      </c>
      <c r="D29" s="91"/>
      <c r="E29" s="91"/>
      <c r="F29" s="92"/>
      <c r="G29" s="1"/>
    </row>
    <row r="30" spans="1:8" x14ac:dyDescent="0.25">
      <c r="A30" s="1"/>
      <c r="B30" s="6" t="s">
        <v>34</v>
      </c>
      <c r="C30" s="90" t="s">
        <v>32</v>
      </c>
      <c r="D30" s="91"/>
      <c r="E30" s="91"/>
      <c r="F30" s="92"/>
      <c r="G30" s="1"/>
    </row>
    <row r="31" spans="1:8" x14ac:dyDescent="0.25">
      <c r="A31" s="1"/>
      <c r="B31" s="6" t="s">
        <v>100</v>
      </c>
      <c r="C31" s="101" t="s">
        <v>52</v>
      </c>
      <c r="D31" s="102"/>
      <c r="E31" s="102"/>
      <c r="F31" s="103"/>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7gIdr93sq5KhPAyX0vmaixzB44uAzjyXgRXK000/nZTw4TsFkPIkyTjqFQ8Eow1j/5SXsDcQcEMVI59v8XuvwQ==" saltValue="3KTqEexElD5GVPCdgtrZrg=="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58</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8" t="s">
        <v>165</v>
      </c>
      <c r="C8" s="109"/>
      <c r="D8" s="110"/>
      <c r="E8" s="1"/>
    </row>
    <row r="9" spans="1:5" ht="15" customHeight="1" x14ac:dyDescent="0.25">
      <c r="A9" s="1"/>
      <c r="B9" s="27" t="s">
        <v>28</v>
      </c>
      <c r="C9" s="67" t="s">
        <v>166</v>
      </c>
      <c r="D9" s="11"/>
      <c r="E9" s="1"/>
    </row>
    <row r="10" spans="1:5" ht="15" customHeight="1" x14ac:dyDescent="0.25">
      <c r="A10" s="1"/>
      <c r="B10" s="71" t="s">
        <v>228</v>
      </c>
      <c r="C10" s="72">
        <v>2515744</v>
      </c>
      <c r="D10" s="14" t="s">
        <v>3</v>
      </c>
      <c r="E10" s="1"/>
    </row>
    <row r="11" spans="1:5" ht="15" customHeight="1" x14ac:dyDescent="0.25">
      <c r="A11" s="1"/>
      <c r="B11" s="71" t="s">
        <v>229</v>
      </c>
      <c r="C11" s="72">
        <v>97236</v>
      </c>
      <c r="D11" s="14" t="s">
        <v>3</v>
      </c>
      <c r="E11" s="1"/>
    </row>
    <row r="12" spans="1:5" ht="25.5" x14ac:dyDescent="0.25">
      <c r="A12" s="1"/>
      <c r="B12" s="71" t="s">
        <v>230</v>
      </c>
      <c r="C12" s="72">
        <v>923684</v>
      </c>
      <c r="D12" s="14" t="s">
        <v>3</v>
      </c>
      <c r="E12" s="1"/>
    </row>
    <row r="13" spans="1:5" x14ac:dyDescent="0.25">
      <c r="A13" s="1"/>
      <c r="B13" s="71" t="s">
        <v>231</v>
      </c>
      <c r="C13" s="72">
        <v>245019</v>
      </c>
      <c r="D13" s="14" t="s">
        <v>3</v>
      </c>
      <c r="E13" s="1"/>
    </row>
    <row r="14" spans="1:5" x14ac:dyDescent="0.25">
      <c r="A14" s="1"/>
      <c r="B14" s="71" t="s">
        <v>232</v>
      </c>
      <c r="C14" s="72">
        <v>26048</v>
      </c>
      <c r="D14" s="14" t="s">
        <v>3</v>
      </c>
      <c r="E14" s="1"/>
    </row>
    <row r="15" spans="1:5" x14ac:dyDescent="0.25">
      <c r="A15" s="1"/>
      <c r="B15" s="71"/>
      <c r="C15" s="72"/>
      <c r="D15" s="14" t="s">
        <v>3</v>
      </c>
      <c r="E15" s="1"/>
    </row>
    <row r="16" spans="1:5" x14ac:dyDescent="0.25">
      <c r="A16" s="1"/>
      <c r="B16" s="71"/>
      <c r="C16" s="72"/>
      <c r="D16" s="14" t="s">
        <v>3</v>
      </c>
      <c r="E16" s="1"/>
    </row>
    <row r="17" spans="1:5" x14ac:dyDescent="0.25">
      <c r="A17" s="1"/>
      <c r="B17" s="71"/>
      <c r="C17" s="72"/>
      <c r="D17" s="14" t="s">
        <v>3</v>
      </c>
      <c r="E17" s="1"/>
    </row>
    <row r="18" spans="1:5" x14ac:dyDescent="0.25">
      <c r="A18" s="1"/>
      <c r="B18" s="71"/>
      <c r="C18" s="72"/>
      <c r="D18" s="14" t="s">
        <v>3</v>
      </c>
      <c r="E18" s="1"/>
    </row>
    <row r="19" spans="1:5" x14ac:dyDescent="0.25">
      <c r="A19" s="1"/>
      <c r="B19" s="71"/>
      <c r="C19" s="72"/>
      <c r="D19" s="14" t="s">
        <v>3</v>
      </c>
      <c r="E19" s="1"/>
    </row>
    <row r="20" spans="1:5" x14ac:dyDescent="0.25">
      <c r="A20" s="1"/>
      <c r="B20" s="33" t="s">
        <v>167</v>
      </c>
      <c r="C20" s="12">
        <f>SUM(C10:C19)</f>
        <v>3807731</v>
      </c>
      <c r="D20" s="13" t="s">
        <v>3</v>
      </c>
      <c r="E20" s="1"/>
    </row>
    <row r="21" spans="1:5" x14ac:dyDescent="0.25">
      <c r="A21" s="1"/>
      <c r="B21" s="33" t="s">
        <v>168</v>
      </c>
      <c r="C21" s="12">
        <f>C20*(1+'Fane 15. Nøgletal'!C10)^2</f>
        <v>4329373.7356793899</v>
      </c>
      <c r="D21" s="13" t="s">
        <v>3</v>
      </c>
      <c r="E21" s="1"/>
    </row>
    <row r="22" spans="1:5" x14ac:dyDescent="0.25">
      <c r="A22" s="1"/>
      <c r="B22" s="16"/>
      <c r="C22" s="15"/>
      <c r="D22" s="15"/>
      <c r="E22" s="1"/>
    </row>
    <row r="23" spans="1:5" x14ac:dyDescent="0.25">
      <c r="A23" s="1"/>
      <c r="B23" s="16"/>
      <c r="C23" s="15"/>
      <c r="D23" s="15"/>
      <c r="E23" s="1"/>
    </row>
    <row r="24" spans="1:5" x14ac:dyDescent="0.25">
      <c r="A24" s="1"/>
      <c r="B24" s="108" t="s">
        <v>60</v>
      </c>
      <c r="C24" s="109"/>
      <c r="D24" s="110"/>
      <c r="E24" s="1"/>
    </row>
    <row r="25" spans="1:5" x14ac:dyDescent="0.25">
      <c r="A25" s="1"/>
      <c r="B25" s="37" t="s">
        <v>72</v>
      </c>
      <c r="C25" s="9"/>
      <c r="D25" s="14" t="s">
        <v>3</v>
      </c>
      <c r="E25" s="1"/>
    </row>
    <row r="26" spans="1:5" x14ac:dyDescent="0.25">
      <c r="A26" s="1"/>
      <c r="B26" s="37" t="s">
        <v>83</v>
      </c>
      <c r="C26" s="9"/>
      <c r="D26" s="14" t="s">
        <v>3</v>
      </c>
      <c r="E26" s="1"/>
    </row>
    <row r="27" spans="1:5" x14ac:dyDescent="0.25">
      <c r="A27" s="1"/>
      <c r="B27" s="37" t="s">
        <v>148</v>
      </c>
      <c r="C27" s="9"/>
      <c r="D27" s="14" t="s">
        <v>3</v>
      </c>
      <c r="E27" s="1"/>
    </row>
    <row r="28" spans="1:5" x14ac:dyDescent="0.25">
      <c r="A28" s="1"/>
      <c r="B28" s="34" t="s">
        <v>169</v>
      </c>
      <c r="C28" s="9"/>
      <c r="D28" s="36" t="s">
        <v>3</v>
      </c>
      <c r="E28" s="1"/>
    </row>
    <row r="29" spans="1:5" x14ac:dyDescent="0.25">
      <c r="A29" s="1"/>
      <c r="B29" s="108"/>
      <c r="C29" s="109"/>
      <c r="D29" s="110"/>
      <c r="E29" s="1"/>
    </row>
    <row r="30" spans="1:5" x14ac:dyDescent="0.25">
      <c r="A30" s="1"/>
      <c r="B30" s="1"/>
      <c r="C30" s="1"/>
      <c r="D30" s="1"/>
      <c r="E30" s="1"/>
    </row>
    <row r="31" spans="1:5" x14ac:dyDescent="0.25">
      <c r="A31" s="1"/>
      <c r="B31" s="1"/>
      <c r="C31" s="1"/>
      <c r="D31" s="1"/>
      <c r="E31" s="1"/>
    </row>
    <row r="32" spans="1:5" x14ac:dyDescent="0.25">
      <c r="A32" s="1"/>
      <c r="B32" s="108" t="s">
        <v>47</v>
      </c>
      <c r="C32" s="109"/>
      <c r="D32" s="110"/>
      <c r="E32" s="1"/>
    </row>
    <row r="33" spans="1:5" x14ac:dyDescent="0.25">
      <c r="A33" s="1"/>
      <c r="B33" s="37" t="s">
        <v>72</v>
      </c>
      <c r="C33" s="9"/>
      <c r="D33" s="14" t="s">
        <v>3</v>
      </c>
      <c r="E33" s="1"/>
    </row>
    <row r="34" spans="1:5" x14ac:dyDescent="0.25">
      <c r="A34" s="1"/>
      <c r="B34" s="37" t="s">
        <v>83</v>
      </c>
      <c r="C34" s="9"/>
      <c r="D34" s="14" t="s">
        <v>3</v>
      </c>
      <c r="E34" s="1"/>
    </row>
    <row r="35" spans="1:5" x14ac:dyDescent="0.25">
      <c r="A35" s="1"/>
      <c r="B35" s="37" t="s">
        <v>148</v>
      </c>
      <c r="C35" s="9"/>
      <c r="D35" s="14" t="s">
        <v>3</v>
      </c>
      <c r="E35" s="1"/>
    </row>
    <row r="36" spans="1:5" x14ac:dyDescent="0.25">
      <c r="A36" s="1"/>
      <c r="B36" s="34" t="s">
        <v>169</v>
      </c>
      <c r="C36" s="9"/>
      <c r="D36" s="36" t="s">
        <v>3</v>
      </c>
      <c r="E36" s="1"/>
    </row>
    <row r="37" spans="1:5" x14ac:dyDescent="0.25">
      <c r="A37" s="1"/>
      <c r="B37" s="108"/>
      <c r="C37" s="109"/>
      <c r="D37" s="110"/>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wYuVpMRKfQxTvzTqJ753BDogcC5A9GdCrN0Q7bPfiatdW2BEvn9IwV//ippVGAbOXFdZ3O8dPAxYQeq7KnWClg==" saltValue="X1zj4xI3UKXEc3johhI71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201</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4"/>
      <c r="C6" s="74"/>
      <c r="D6" s="74"/>
      <c r="E6" s="1"/>
    </row>
    <row r="7" spans="1:5" x14ac:dyDescent="0.25">
      <c r="A7" s="1"/>
      <c r="B7" s="1"/>
      <c r="C7" s="1"/>
      <c r="D7" s="1"/>
      <c r="E7" s="1"/>
    </row>
    <row r="8" spans="1:5" x14ac:dyDescent="0.25">
      <c r="A8" s="1"/>
      <c r="B8" s="108" t="s">
        <v>77</v>
      </c>
      <c r="C8" s="109"/>
      <c r="D8" s="110"/>
      <c r="E8" s="1"/>
    </row>
    <row r="9" spans="1:5" x14ac:dyDescent="0.25">
      <c r="A9" s="1"/>
      <c r="B9" s="65" t="s">
        <v>204</v>
      </c>
      <c r="C9" s="9">
        <v>14718229.253079653</v>
      </c>
      <c r="D9" s="14" t="s">
        <v>3</v>
      </c>
      <c r="E9" s="1"/>
    </row>
    <row r="10" spans="1:5" x14ac:dyDescent="0.25">
      <c r="A10" s="1"/>
      <c r="B10" s="33"/>
      <c r="C10" s="28"/>
      <c r="D10" s="19"/>
      <c r="E10" s="1"/>
    </row>
    <row r="11" spans="1:5" ht="53.25" customHeight="1" x14ac:dyDescent="0.25">
      <c r="A11" s="1"/>
      <c r="B11" s="119" t="s">
        <v>212</v>
      </c>
      <c r="C11" s="120"/>
      <c r="D11" s="121"/>
      <c r="E11" s="1"/>
    </row>
    <row r="12" spans="1:5" x14ac:dyDescent="0.25">
      <c r="A12" s="1"/>
      <c r="B12" s="1"/>
      <c r="C12" s="1"/>
      <c r="D12" s="1"/>
      <c r="E12" s="1"/>
    </row>
    <row r="13" spans="1:5" x14ac:dyDescent="0.25">
      <c r="A13" s="1"/>
      <c r="B13" s="108" t="s">
        <v>78</v>
      </c>
      <c r="C13" s="109"/>
      <c r="D13" s="110"/>
      <c r="E13" s="1"/>
    </row>
    <row r="14" spans="1:5" x14ac:dyDescent="0.25">
      <c r="A14" s="1"/>
      <c r="B14" s="65" t="s">
        <v>202</v>
      </c>
      <c r="C14" s="9">
        <v>-2277516.8818719536</v>
      </c>
      <c r="D14" s="14" t="s">
        <v>3</v>
      </c>
      <c r="E14" s="1"/>
    </row>
    <row r="15" spans="1:5" x14ac:dyDescent="0.25">
      <c r="A15" s="1"/>
      <c r="B15" s="65" t="s">
        <v>203</v>
      </c>
      <c r="C15" s="9">
        <v>-2277516.8818719536</v>
      </c>
      <c r="D15" s="14" t="s">
        <v>3</v>
      </c>
      <c r="E15" s="1"/>
    </row>
    <row r="16" spans="1:5" x14ac:dyDescent="0.25">
      <c r="A16" s="1"/>
      <c r="B16" s="33"/>
      <c r="C16" s="28"/>
      <c r="D16" s="19"/>
      <c r="E16" s="1"/>
    </row>
    <row r="17" spans="1:5" ht="29.25" customHeight="1" x14ac:dyDescent="0.25">
      <c r="A17" s="1"/>
      <c r="B17" s="119" t="s">
        <v>121</v>
      </c>
      <c r="C17" s="120"/>
      <c r="D17" s="121"/>
      <c r="E17" s="1"/>
    </row>
    <row r="18" spans="1:5" x14ac:dyDescent="0.25">
      <c r="A18" s="1"/>
      <c r="B18" s="1"/>
      <c r="C18" s="1"/>
      <c r="D18" s="1"/>
      <c r="E18" s="1"/>
    </row>
    <row r="19" spans="1:5" x14ac:dyDescent="0.25">
      <c r="A19" s="1"/>
      <c r="B19" s="75" t="s">
        <v>205</v>
      </c>
      <c r="C19" s="76"/>
      <c r="D19" s="77"/>
      <c r="E19" s="1"/>
    </row>
    <row r="20" spans="1:5" x14ac:dyDescent="0.25">
      <c r="A20" s="1"/>
      <c r="B20" s="65" t="s">
        <v>206</v>
      </c>
      <c r="C20" s="9">
        <v>155082376.10471326</v>
      </c>
      <c r="D20" s="14" t="s">
        <v>3</v>
      </c>
      <c r="E20" s="1"/>
    </row>
    <row r="21" spans="1:5" x14ac:dyDescent="0.25">
      <c r="A21" s="1"/>
      <c r="B21" s="65" t="s">
        <v>207</v>
      </c>
      <c r="C21" s="9">
        <v>166136775</v>
      </c>
      <c r="D21" s="14" t="s">
        <v>3</v>
      </c>
      <c r="E21" s="1"/>
    </row>
    <row r="22" spans="1:5" x14ac:dyDescent="0.25">
      <c r="A22" s="1"/>
      <c r="B22" s="65" t="s">
        <v>29</v>
      </c>
      <c r="C22" s="9">
        <v>0</v>
      </c>
      <c r="D22" s="14" t="s">
        <v>3</v>
      </c>
      <c r="E22" s="1"/>
    </row>
    <row r="23" spans="1:5" x14ac:dyDescent="0.25">
      <c r="A23" s="1"/>
      <c r="B23" s="81" t="s">
        <v>208</v>
      </c>
      <c r="C23" s="57">
        <f>C20-C21-C22</f>
        <v>-11054398.895286739</v>
      </c>
      <c r="D23" s="17" t="s">
        <v>3</v>
      </c>
      <c r="E23" s="1"/>
    </row>
    <row r="24" spans="1:5" x14ac:dyDescent="0.25">
      <c r="A24" s="1"/>
      <c r="B24" s="33"/>
      <c r="C24" s="28"/>
      <c r="D24" s="19"/>
      <c r="E24" s="1"/>
    </row>
    <row r="25" spans="1:5" x14ac:dyDescent="0.25">
      <c r="A25" s="1"/>
      <c r="B25" s="1"/>
      <c r="C25" s="1"/>
      <c r="D25" s="1"/>
      <c r="E25" s="1"/>
    </row>
    <row r="26" spans="1:5" x14ac:dyDescent="0.25">
      <c r="A26" s="1"/>
      <c r="B26" s="108" t="s">
        <v>209</v>
      </c>
      <c r="C26" s="109"/>
      <c r="D26" s="110"/>
      <c r="E26" s="1"/>
    </row>
    <row r="27" spans="1:5" x14ac:dyDescent="0.25">
      <c r="A27" s="1"/>
      <c r="B27" s="81" t="s">
        <v>210</v>
      </c>
      <c r="C27" s="57">
        <f>IF(AND(C15&lt;0,C23&gt;0,ABS(SUM(C14:C15))&lt;C23),ABS(C14),IF(AND(C15&lt;0,C23&gt;0,ABS(SUM(C14:C15))&gt;C23),SUM(C14,C23),C15))</f>
        <v>-2277516.8818719536</v>
      </c>
      <c r="D27" s="17" t="s">
        <v>3</v>
      </c>
      <c r="E27" s="1"/>
    </row>
    <row r="28" spans="1:5" x14ac:dyDescent="0.25">
      <c r="A28" s="1"/>
      <c r="B28" s="108"/>
      <c r="C28" s="109"/>
      <c r="D28" s="110"/>
      <c r="E28" s="1"/>
    </row>
    <row r="29" spans="1:5" x14ac:dyDescent="0.25">
      <c r="A29" s="1"/>
      <c r="B29" s="1"/>
      <c r="C29" s="1"/>
      <c r="D29" s="1"/>
      <c r="E29" s="1"/>
    </row>
    <row r="30" spans="1:5" x14ac:dyDescent="0.25">
      <c r="A30" s="1"/>
      <c r="B30" s="108" t="s">
        <v>211</v>
      </c>
      <c r="C30" s="109"/>
      <c r="D30" s="110"/>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6"/>
      <c r="C34" s="117"/>
      <c r="D34" s="118"/>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PKsV8DlHSOhpzndnu+dD8YsBaafFWhHzmOtkxzCNU6CbamduwrDz65TogDouOo6iSIoTQlBgn6BbhzVswdfzfQ==" saltValue="iV4lOc4P3ilXBUMZ/imhPg=="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7" t="s">
        <v>101</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x14ac:dyDescent="0.25">
      <c r="A8" s="1"/>
      <c r="B8" s="108" t="s">
        <v>120</v>
      </c>
      <c r="C8" s="109"/>
      <c r="D8" s="110"/>
      <c r="E8" s="1"/>
    </row>
    <row r="9" spans="1:5" ht="15" customHeight="1" x14ac:dyDescent="0.25">
      <c r="A9" s="1"/>
      <c r="B9" s="122" t="s">
        <v>102</v>
      </c>
      <c r="C9" s="123"/>
      <c r="D9" s="124"/>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5"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GRoo3eRT43tQdLqK7Se6aLakfd+ACj3X4ujsly1R9pJaiVvWIyG6BRBv8S15XlRNRXinH/a75SHjFAinJOPEFw==" saltValue="gdW31NrE9sXzElPKYfjCNA=="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170</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8" t="s">
        <v>171</v>
      </c>
      <c r="C8" s="109"/>
      <c r="D8" s="110"/>
      <c r="E8" s="1"/>
    </row>
    <row r="9" spans="1:5" ht="26.25" x14ac:dyDescent="0.25">
      <c r="A9" s="1"/>
      <c r="B9" s="78" t="s">
        <v>217</v>
      </c>
      <c r="C9" s="7">
        <v>0</v>
      </c>
      <c r="D9" s="8" t="s">
        <v>3</v>
      </c>
      <c r="E9" s="1"/>
    </row>
    <row r="10" spans="1:5" ht="14.25" customHeight="1" x14ac:dyDescent="0.25">
      <c r="A10" s="1"/>
      <c r="B10" s="65" t="s">
        <v>172</v>
      </c>
      <c r="C10" s="7">
        <v>0</v>
      </c>
      <c r="D10" s="8" t="s">
        <v>3</v>
      </c>
      <c r="E10" s="1"/>
    </row>
    <row r="11" spans="1:5" ht="14.25" customHeight="1" x14ac:dyDescent="0.25">
      <c r="A11" s="1"/>
      <c r="B11" s="81" t="s">
        <v>48</v>
      </c>
      <c r="C11" s="10">
        <f>C10-C9</f>
        <v>0</v>
      </c>
      <c r="D11" s="11" t="s">
        <v>3</v>
      </c>
      <c r="E11" s="1"/>
    </row>
    <row r="12" spans="1:5" ht="14.25" customHeight="1" x14ac:dyDescent="0.25">
      <c r="A12" s="1"/>
      <c r="B12" s="108" t="s">
        <v>219</v>
      </c>
      <c r="C12" s="109"/>
      <c r="D12" s="110"/>
      <c r="E12" s="1"/>
    </row>
    <row r="13" spans="1:5" ht="26.25" x14ac:dyDescent="0.25">
      <c r="A13" s="1"/>
      <c r="B13" s="78" t="s">
        <v>218</v>
      </c>
      <c r="C13" s="7">
        <v>0</v>
      </c>
      <c r="D13" s="8" t="s">
        <v>3</v>
      </c>
      <c r="E13" s="1"/>
    </row>
    <row r="14" spans="1:5" ht="14.25" customHeight="1" x14ac:dyDescent="0.25">
      <c r="A14" s="1"/>
      <c r="B14" s="65" t="s">
        <v>173</v>
      </c>
      <c r="C14" s="7">
        <v>0</v>
      </c>
      <c r="D14" s="8" t="s">
        <v>3</v>
      </c>
      <c r="E14" s="1"/>
    </row>
    <row r="15" spans="1:5" ht="14.25" customHeight="1" x14ac:dyDescent="0.25">
      <c r="A15" s="1"/>
      <c r="B15" s="81" t="s">
        <v>48</v>
      </c>
      <c r="C15" s="10">
        <f>C14-C13</f>
        <v>0</v>
      </c>
      <c r="D15" s="11" t="s">
        <v>3</v>
      </c>
      <c r="E15" s="1"/>
    </row>
    <row r="16" spans="1:5" ht="14.25" customHeight="1" x14ac:dyDescent="0.25">
      <c r="A16" s="1"/>
      <c r="B16" s="33" t="s">
        <v>174</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cTSHJUQ7Om30zt94aq7xH0CsJGS5O5XxQFMipt43T1ycjAm9/WfwOxJIP3ZfFz7uzGf72tKqQ+imE/NXjyhxzA==" saltValue="BPHTjxioxuUsilfiCwt6KA=="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4" t="s">
        <v>113</v>
      </c>
      <c r="C3" s="104"/>
      <c r="D3" s="104"/>
      <c r="E3" s="104"/>
      <c r="F3" s="104"/>
      <c r="G3" s="104"/>
      <c r="H3" s="104"/>
      <c r="I3" s="104"/>
      <c r="J3" s="104"/>
      <c r="K3" s="104"/>
      <c r="L3" s="1"/>
    </row>
    <row r="4" spans="1:12" ht="15" customHeight="1" x14ac:dyDescent="0.25">
      <c r="A4" s="1"/>
      <c r="B4" s="104"/>
      <c r="C4" s="104"/>
      <c r="D4" s="104"/>
      <c r="E4" s="104"/>
      <c r="F4" s="104"/>
      <c r="G4" s="104"/>
      <c r="H4" s="104"/>
      <c r="I4" s="104"/>
      <c r="J4" s="104"/>
      <c r="K4" s="10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8" t="s">
        <v>86</v>
      </c>
      <c r="C8" s="109"/>
      <c r="D8" s="109"/>
      <c r="E8" s="109"/>
      <c r="F8" s="109"/>
      <c r="G8" s="109"/>
      <c r="H8" s="109"/>
      <c r="I8" s="109"/>
      <c r="J8" s="109"/>
      <c r="K8" s="110"/>
      <c r="L8" s="1"/>
    </row>
    <row r="9" spans="1:12" ht="39.75" customHeight="1" x14ac:dyDescent="0.25">
      <c r="A9" s="1"/>
      <c r="B9" s="18" t="s">
        <v>0</v>
      </c>
      <c r="C9" s="18" t="s">
        <v>1</v>
      </c>
      <c r="D9" s="125" t="s">
        <v>96</v>
      </c>
      <c r="E9" s="126"/>
      <c r="F9" s="125" t="s">
        <v>2</v>
      </c>
      <c r="G9" s="126"/>
      <c r="H9" s="125" t="s">
        <v>95</v>
      </c>
      <c r="I9" s="126"/>
      <c r="J9" s="125" t="s">
        <v>26</v>
      </c>
      <c r="K9" s="126"/>
      <c r="L9" s="1"/>
    </row>
    <row r="10" spans="1:12" x14ac:dyDescent="0.25">
      <c r="A10" s="1"/>
      <c r="B10" s="68" t="s">
        <v>224</v>
      </c>
      <c r="C10" s="42">
        <v>0</v>
      </c>
      <c r="D10" s="9">
        <v>0</v>
      </c>
      <c r="E10" s="14" t="s">
        <v>3</v>
      </c>
      <c r="F10" s="9">
        <f>IFERROR(D10/C10,0)</f>
        <v>0</v>
      </c>
      <c r="G10" s="14" t="s">
        <v>3</v>
      </c>
      <c r="H10" s="38">
        <v>0</v>
      </c>
      <c r="I10" s="14" t="s">
        <v>3</v>
      </c>
      <c r="J10" s="38">
        <v>0</v>
      </c>
      <c r="K10" s="14" t="s">
        <v>3</v>
      </c>
      <c r="L10" s="1"/>
    </row>
    <row r="11" spans="1:12" x14ac:dyDescent="0.25">
      <c r="A11" s="1"/>
      <c r="B11" s="75" t="s">
        <v>221</v>
      </c>
      <c r="C11" s="76"/>
      <c r="D11" s="77"/>
      <c r="E11" s="77"/>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zqhveqXlxKXX0eEyj04H7PotCP7Ene0vSDRXKzgjX6y4XT91FjuCrPWC1L4CzLa4YA+VG+lPZR7icA9bGCQ88Q==" saltValue="iAiqh4MUVpK0dsYBNBzUy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114</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79" t="s">
        <v>17</v>
      </c>
      <c r="C9" s="81" t="s">
        <v>11</v>
      </c>
      <c r="D9" s="80"/>
      <c r="E9" s="81"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234</v>
      </c>
      <c r="C11" s="21">
        <v>0</v>
      </c>
      <c r="D11" s="14" t="s">
        <v>3</v>
      </c>
      <c r="E11" s="9">
        <v>55530</v>
      </c>
      <c r="F11" s="14" t="s">
        <v>3</v>
      </c>
      <c r="G11" s="1"/>
    </row>
    <row r="12" spans="1:7" x14ac:dyDescent="0.25">
      <c r="A12" s="1"/>
      <c r="B12" s="24" t="s">
        <v>235</v>
      </c>
      <c r="C12" s="21">
        <v>116</v>
      </c>
      <c r="D12" s="14" t="s">
        <v>3</v>
      </c>
      <c r="E12" s="9">
        <v>18235</v>
      </c>
      <c r="F12" s="14" t="s">
        <v>3</v>
      </c>
      <c r="G12" s="1"/>
    </row>
    <row r="13" spans="1:7" x14ac:dyDescent="0.25">
      <c r="A13" s="1"/>
      <c r="B13" s="24" t="s">
        <v>236</v>
      </c>
      <c r="C13" s="21">
        <v>141845</v>
      </c>
      <c r="D13" s="14" t="s">
        <v>3</v>
      </c>
      <c r="E13" s="9">
        <v>2377740</v>
      </c>
      <c r="F13" s="14" t="s">
        <v>3</v>
      </c>
      <c r="G13" s="1"/>
    </row>
    <row r="14" spans="1:7" x14ac:dyDescent="0.25">
      <c r="A14" s="1"/>
      <c r="B14" s="24" t="s">
        <v>237</v>
      </c>
      <c r="C14" s="21">
        <v>41402</v>
      </c>
      <c r="D14" s="14" t="s">
        <v>3</v>
      </c>
      <c r="E14" s="9">
        <v>173571</v>
      </c>
      <c r="F14" s="14" t="s">
        <v>3</v>
      </c>
      <c r="G14" s="1"/>
    </row>
    <row r="15" spans="1:7" x14ac:dyDescent="0.25">
      <c r="A15" s="1"/>
      <c r="B15" s="24" t="s">
        <v>238</v>
      </c>
      <c r="C15" s="21">
        <v>106097</v>
      </c>
      <c r="D15" s="14" t="s">
        <v>3</v>
      </c>
      <c r="E15" s="9">
        <v>214771</v>
      </c>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289460</v>
      </c>
      <c r="D19" s="13" t="s">
        <v>3</v>
      </c>
      <c r="E19" s="12">
        <f>SUM(E10:E18)</f>
        <v>2839847</v>
      </c>
      <c r="F19" s="13" t="s">
        <v>3</v>
      </c>
      <c r="G19" s="1"/>
    </row>
    <row r="20" spans="1:7" x14ac:dyDescent="0.25">
      <c r="A20" s="1"/>
      <c r="B20" s="33" t="s">
        <v>175</v>
      </c>
      <c r="C20" s="12">
        <f>C19*(1+'Fane 15. Nøgletal'!C10)</f>
        <v>308651.19800000003</v>
      </c>
      <c r="D20" s="13" t="s">
        <v>3</v>
      </c>
      <c r="E20" s="12">
        <f>E19*(1+'Fane 15. Nøgletal'!C10)</f>
        <v>3028128.8561</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NpVg1z47QtLZE2zGGXggUb4w/lUX2C/CdhWaOT4ELhPT79fcB+FLIXXqrB2j5mo/Hcj1D8db/w1vnaXpD2Pyzg==" saltValue="lehc4cNZFlj/3Kg8E5SgE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115</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8" t="s">
        <v>176</v>
      </c>
      <c r="C8" s="109"/>
      <c r="D8" s="109"/>
      <c r="E8" s="109"/>
      <c r="F8" s="110"/>
      <c r="G8" s="1"/>
    </row>
    <row r="9" spans="1:7" x14ac:dyDescent="0.25">
      <c r="A9" s="1"/>
      <c r="B9" s="79" t="s">
        <v>17</v>
      </c>
      <c r="C9" s="81" t="s">
        <v>11</v>
      </c>
      <c r="D9" s="80"/>
      <c r="E9" s="81" t="s">
        <v>27</v>
      </c>
      <c r="F9" s="32"/>
      <c r="G9" s="1"/>
    </row>
    <row r="10" spans="1:7" x14ac:dyDescent="0.25">
      <c r="A10" s="1"/>
      <c r="B10" s="24" t="s">
        <v>239</v>
      </c>
      <c r="C10" s="21">
        <v>0</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0</v>
      </c>
      <c r="D13" s="13" t="s">
        <v>3</v>
      </c>
      <c r="E13" s="12">
        <f>SUM(E10:E12)</f>
        <v>0</v>
      </c>
      <c r="F13" s="13" t="s">
        <v>3</v>
      </c>
      <c r="G13" s="1"/>
    </row>
    <row r="14" spans="1:7" x14ac:dyDescent="0.25">
      <c r="A14" s="1"/>
      <c r="B14" s="33" t="s">
        <v>178</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27"/>
      <c r="C16" s="127"/>
      <c r="D16" s="127"/>
      <c r="E16" s="127"/>
      <c r="F16" s="127"/>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7"/>
      <c r="C29" s="127"/>
      <c r="D29" s="127"/>
      <c r="E29" s="127"/>
      <c r="F29" s="127"/>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aAM8Shq707vHvrIo9KdMgqT+HZNXjn8hyu2wi/6k/OVdgRpxXFuowaND2CO5bwgXkcjWXwOwScZ7au4BnZ8rg==" saltValue="PySkHhUDKhGagNcJeXqLDw=="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116</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ht="14.25" customHeight="1" x14ac:dyDescent="0.25">
      <c r="A8" s="1"/>
      <c r="B8" s="108" t="s">
        <v>73</v>
      </c>
      <c r="C8" s="109"/>
      <c r="D8" s="110"/>
      <c r="E8" s="1"/>
    </row>
    <row r="9" spans="1:5" x14ac:dyDescent="0.25">
      <c r="A9" s="1"/>
      <c r="B9" s="68" t="s">
        <v>179</v>
      </c>
      <c r="C9" s="9">
        <v>0</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5" t="s">
        <v>74</v>
      </c>
      <c r="C12" s="12">
        <f>SUM(C9:C11)*(1+'Fane 15. Nøgletal'!C9)^2</f>
        <v>0</v>
      </c>
      <c r="D12" s="13" t="s">
        <v>3</v>
      </c>
      <c r="E12" s="1"/>
    </row>
    <row r="13" spans="1:5" x14ac:dyDescent="0.25">
      <c r="A13" s="1"/>
      <c r="B13" s="1"/>
      <c r="C13" s="1"/>
      <c r="D13" s="1"/>
      <c r="E13" s="1"/>
    </row>
    <row r="14" spans="1:5" ht="15" customHeight="1" x14ac:dyDescent="0.25">
      <c r="A14" s="1"/>
      <c r="B14" s="108" t="s">
        <v>84</v>
      </c>
      <c r="C14" s="109"/>
      <c r="D14" s="110"/>
      <c r="E14" s="1"/>
    </row>
    <row r="15" spans="1:5" x14ac:dyDescent="0.25">
      <c r="A15" s="1"/>
      <c r="B15" s="68" t="s">
        <v>179</v>
      </c>
      <c r="C15" s="9">
        <v>0</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5" t="s">
        <v>85</v>
      </c>
      <c r="C18" s="12">
        <f>SUM(C15:C17)*(1+'Fane 15. Nøgletal'!C10)^3</f>
        <v>0</v>
      </c>
      <c r="D18" s="13" t="s">
        <v>3</v>
      </c>
      <c r="E18" s="1"/>
    </row>
    <row r="19" spans="1:5" x14ac:dyDescent="0.25">
      <c r="A19" s="1"/>
      <c r="B19" s="1"/>
      <c r="C19" s="1"/>
      <c r="D19" s="1"/>
      <c r="E19" s="1"/>
    </row>
    <row r="20" spans="1:5" ht="15" customHeight="1" x14ac:dyDescent="0.25">
      <c r="A20" s="1"/>
      <c r="B20" s="108" t="s">
        <v>140</v>
      </c>
      <c r="C20" s="109"/>
      <c r="D20" s="110"/>
      <c r="E20" s="1"/>
    </row>
    <row r="21" spans="1:5" x14ac:dyDescent="0.25">
      <c r="A21" s="1"/>
      <c r="B21" s="68" t="s">
        <v>179</v>
      </c>
      <c r="C21" s="9">
        <v>0</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5" t="s">
        <v>141</v>
      </c>
      <c r="C24" s="12">
        <f>SUM(C21:C23)*(1+'Fane 15. Nøgletal'!C10)^4</f>
        <v>0</v>
      </c>
      <c r="D24" s="13" t="s">
        <v>3</v>
      </c>
      <c r="E24" s="1"/>
    </row>
    <row r="25" spans="1:5" x14ac:dyDescent="0.25">
      <c r="A25" s="1"/>
      <c r="B25" s="1"/>
      <c r="C25" s="1"/>
      <c r="D25" s="1"/>
      <c r="E25" s="1"/>
    </row>
    <row r="26" spans="1:5" ht="15" customHeight="1" x14ac:dyDescent="0.25">
      <c r="A26" s="1"/>
      <c r="B26" s="108" t="s">
        <v>180</v>
      </c>
      <c r="C26" s="109"/>
      <c r="D26" s="110"/>
      <c r="E26" s="1"/>
    </row>
    <row r="27" spans="1:5" ht="14.25" customHeight="1" x14ac:dyDescent="0.25">
      <c r="A27" s="1"/>
      <c r="B27" s="68" t="s">
        <v>179</v>
      </c>
      <c r="C27" s="9">
        <v>0</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5"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w7m4ivE6/7WAoLkfgHwVpDYbFlXTBYCVsvlW34lqdGu3Jn4YVugYoQDPemp1B3KA81wyJ0d8m+imYmz/5kvHDQ==" saltValue="l8Zx72EtEPma00UYJtOKyA=="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117</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x14ac:dyDescent="0.25">
      <c r="A8" s="1"/>
      <c r="B8" s="108" t="s">
        <v>66</v>
      </c>
      <c r="C8" s="109"/>
      <c r="D8" s="109"/>
      <c r="E8" s="109"/>
      <c r="F8" s="110"/>
      <c r="G8" s="1"/>
    </row>
    <row r="9" spans="1:7" ht="15" customHeight="1" x14ac:dyDescent="0.25">
      <c r="A9" s="1"/>
      <c r="B9" s="31" t="s">
        <v>67</v>
      </c>
      <c r="C9" s="27" t="s">
        <v>11</v>
      </c>
      <c r="D9" s="32"/>
      <c r="E9" s="27" t="s">
        <v>27</v>
      </c>
      <c r="F9" s="32"/>
      <c r="G9" s="1"/>
    </row>
    <row r="10" spans="1:7" ht="26.25" x14ac:dyDescent="0.25">
      <c r="A10" s="1"/>
      <c r="B10" s="70" t="s">
        <v>222</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KBkzAIPDYz8pn3k1vvFV+WFXo8jkAe4qaiGTsoNM3q8e2oELQlPu5lKf6vNWcYsrUpvLUiOCC8nPi4rata/w7g==" saltValue="/bcSRU7Z0RmDRuLP/i8Mjw=="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118</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8" t="s">
        <v>183</v>
      </c>
      <c r="C8" s="109"/>
      <c r="D8" s="109"/>
      <c r="E8" s="109"/>
      <c r="F8" s="110"/>
      <c r="G8" s="1"/>
    </row>
    <row r="9" spans="1:7" x14ac:dyDescent="0.25">
      <c r="A9" s="1"/>
      <c r="B9" s="31" t="s">
        <v>18</v>
      </c>
      <c r="C9" s="128" t="s">
        <v>11</v>
      </c>
      <c r="D9" s="129"/>
      <c r="E9" s="128" t="s">
        <v>27</v>
      </c>
      <c r="F9" s="129"/>
      <c r="G9" s="1"/>
    </row>
    <row r="10" spans="1:7" x14ac:dyDescent="0.25">
      <c r="A10" s="1"/>
      <c r="B10" s="70" t="s">
        <v>223</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216</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7"/>
      <c r="C14" s="127"/>
      <c r="D14" s="127"/>
      <c r="E14" s="127"/>
      <c r="F14" s="127"/>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7"/>
      <c r="C21" s="127"/>
      <c r="D21" s="127"/>
      <c r="E21" s="127"/>
      <c r="F21" s="127"/>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7"/>
      <c r="C27" s="127"/>
      <c r="D27" s="127"/>
      <c r="E27" s="127"/>
      <c r="F27" s="127"/>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vHhXQ6+W7cvNR+OxKDAxWsU/hukVtucsotD1Tw+tcLN471dZY5/HG+vt0ViXYPE6nzV4loENiGaLh6VU5p1B9A==" saltValue="8wt0egYY0htKVkkfYpCmWg=="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155</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170874333.13670576</v>
      </c>
      <c r="D9" s="8" t="s">
        <v>3</v>
      </c>
      <c r="E9" s="1"/>
    </row>
    <row r="10" spans="1:5" ht="17.25" customHeight="1" x14ac:dyDescent="0.25">
      <c r="A10" s="1"/>
      <c r="B10" s="64" t="s">
        <v>35</v>
      </c>
      <c r="C10" s="7">
        <f>'Fane 11.1. Varige tillæg'!C20</f>
        <v>308651.19800000003</v>
      </c>
      <c r="D10" s="8" t="s">
        <v>3</v>
      </c>
      <c r="E10" s="1"/>
    </row>
    <row r="11" spans="1:5" ht="17.25" customHeight="1" x14ac:dyDescent="0.25">
      <c r="A11" s="1"/>
      <c r="B11" s="64" t="s">
        <v>36</v>
      </c>
      <c r="C11" s="9">
        <f>'Fane 11.1. Varige tillæg'!E20</f>
        <v>3028128.8561</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14027874.635032654</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-1025777.2564555689</v>
      </c>
      <c r="D18" s="8" t="s">
        <v>3</v>
      </c>
      <c r="E18" s="1"/>
    </row>
    <row r="19" spans="1:5" ht="17.25" customHeight="1" x14ac:dyDescent="0.25">
      <c r="A19" s="1"/>
      <c r="B19" s="64" t="s">
        <v>23</v>
      </c>
      <c r="C19" s="38">
        <f>-'Fane 4.2. Gen. krav - anlæg'!C17</f>
        <v>0</v>
      </c>
      <c r="D19" s="8" t="s">
        <v>3</v>
      </c>
      <c r="E19" s="43"/>
    </row>
    <row r="20" spans="1:5" ht="17.25" customHeight="1" x14ac:dyDescent="0.25">
      <c r="A20" s="1"/>
      <c r="B20" s="81" t="s">
        <v>21</v>
      </c>
      <c r="C20" s="10">
        <f>SUM(C9:C19)</f>
        <v>187213210.56938285</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4329373.7356793899</v>
      </c>
      <c r="D22" s="11" t="s">
        <v>3</v>
      </c>
      <c r="E22" s="1"/>
    </row>
    <row r="23" spans="1:5" ht="15" customHeight="1" x14ac:dyDescent="0.25">
      <c r="A23" s="1"/>
      <c r="B23" s="33" t="s">
        <v>42</v>
      </c>
      <c r="C23" s="28"/>
      <c r="D23" s="19"/>
      <c r="E23" s="1"/>
    </row>
    <row r="24" spans="1:5" ht="15" customHeight="1" x14ac:dyDescent="0.25">
      <c r="A24" s="1"/>
      <c r="B24" s="81"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0</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0</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0</v>
      </c>
      <c r="D30" s="11" t="s">
        <v>3</v>
      </c>
      <c r="E30" s="1"/>
    </row>
    <row r="31" spans="1:5" x14ac:dyDescent="0.25">
      <c r="A31" s="1"/>
      <c r="B31" s="33" t="s">
        <v>69</v>
      </c>
      <c r="C31" s="28"/>
      <c r="D31" s="19"/>
      <c r="E31" s="1"/>
    </row>
    <row r="32" spans="1:5" x14ac:dyDescent="0.25">
      <c r="A32" s="1"/>
      <c r="B32" s="31" t="s">
        <v>79</v>
      </c>
      <c r="C32" s="62">
        <f>'Fane 7. Kontrol af ØR2023'!C27</f>
        <v>-2277516.8818719536</v>
      </c>
      <c r="D32" s="11" t="s">
        <v>3</v>
      </c>
      <c r="E32" s="1"/>
    </row>
    <row r="33" spans="1:5" ht="15" customHeight="1" x14ac:dyDescent="0.25">
      <c r="A33" s="1"/>
      <c r="B33" s="33" t="s">
        <v>154</v>
      </c>
      <c r="C33" s="28"/>
      <c r="D33" s="19"/>
      <c r="E33" s="1"/>
    </row>
    <row r="34" spans="1:5" x14ac:dyDescent="0.25">
      <c r="A34" s="1"/>
      <c r="B34" s="31" t="s">
        <v>154</v>
      </c>
      <c r="C34" s="10">
        <f>'Fane 9. Korrektion af ØR2023'!C16</f>
        <v>0</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189265067.4231903</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seCeYMFYGiJmDegchU6/8u3G/PXEJ3Ni5c22c9mzhHsFz2/+KmmW2yglmhRy5A/rVPwCbXYsyS5Kix77EZa6TA==" saltValue="bO0ZdwXgckXqsXF1SOHIA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7" t="s">
        <v>119</v>
      </c>
      <c r="C3" s="107"/>
      <c r="D3" s="1"/>
    </row>
    <row r="4" spans="1:4" ht="15" customHeight="1" x14ac:dyDescent="0.25">
      <c r="A4" s="1"/>
      <c r="B4" s="107"/>
      <c r="C4" s="107"/>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226</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215</v>
      </c>
      <c r="C15" s="60">
        <v>0</v>
      </c>
      <c r="D15" s="1"/>
    </row>
    <row r="16" spans="1:4" x14ac:dyDescent="0.25">
      <c r="A16" s="1"/>
      <c r="B16" s="59" t="s">
        <v>227</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T54ENWWC7HqSKqHDCMaC5GBc07qXl2aEeCDrPczVPvSg91p+zFbnCQdh7kw6E5OIUgSs/7Ho0HLTvSkdUMUPjw==" saltValue="Zhc4mJJSYDHjjeqjXi9CD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156</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187213210.56938285</v>
      </c>
      <c r="D9" s="8" t="s">
        <v>3</v>
      </c>
      <c r="E9" s="1"/>
    </row>
    <row r="10" spans="1:5" ht="15" customHeight="1" x14ac:dyDescent="0.25">
      <c r="A10" s="1"/>
      <c r="B10" s="26" t="s">
        <v>19</v>
      </c>
      <c r="C10" s="7">
        <f>C9*'Fane 15. Nøgletal'!C10</f>
        <v>12412235.860750083</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-1071910.5627874017</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198553535.86734551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4616411.2143549332</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203169947.08170044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Slg+uIzkYQYDPI944BFe5hlJ1iGzi1M2j+53FhCF8jYw2vVYcc290YI3mINrp7M/1dFC3OJJFrjIWNN5lkZwbg==" saltValue="dswQDPlu9SPr2iejzPNx1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157</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198553535.86734551</v>
      </c>
      <c r="D9" s="8" t="s">
        <v>3</v>
      </c>
      <c r="E9" s="1"/>
    </row>
    <row r="10" spans="1:5" ht="15" customHeight="1" x14ac:dyDescent="0.25">
      <c r="A10" s="1"/>
      <c r="B10" s="26" t="s">
        <v>19</v>
      </c>
      <c r="C10" s="7">
        <f>SUM(C9:C9)*'Fane 15. Nøgletal'!C10</f>
        <v>13164099.428005006</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-1120118.6684382025</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210597516.62691233</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4922479.2778666653</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215519995.90477899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6YqiGb14GgbgXNtqi2sxa/MeUqhwBD7LyLWzqVMjmfkrtjpC8Rou6/qzKp6QBABWutGB6ZAdnt+zyPuUMQkHzA==" saltValue="s6AwJONyezqtwEY4e8hv7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158</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210597516.62691233</v>
      </c>
      <c r="D9" s="8" t="s">
        <v>3</v>
      </c>
      <c r="E9" s="1"/>
    </row>
    <row r="10" spans="1:5" ht="15" customHeight="1" x14ac:dyDescent="0.25">
      <c r="A10" s="1"/>
      <c r="B10" s="26" t="s">
        <v>19</v>
      </c>
      <c r="C10" s="7">
        <f>SUM(C9:C9)*'Fane 15. Nøgletal'!C10</f>
        <v>13962615.352364287</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-1170494.8854325421</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223389637.09384406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5248839.6539892256</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228638476.74783328</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ih5WtbuGxgJgxMuparsIgN7tHB0TF27caNU+b0PXVhURYm0C+0sQOBtApIzDlIeASUFXGR4AEW0z+/9joVPvDw==" saltValue="0ABI5soTnm0GrWB5gcO5S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7" t="s">
        <v>161</v>
      </c>
      <c r="C3" s="107"/>
      <c r="D3" s="107"/>
      <c r="E3" s="1"/>
    </row>
    <row r="4" spans="1:5" ht="15" customHeight="1" x14ac:dyDescent="0.25">
      <c r="A4" s="1"/>
      <c r="B4" s="107"/>
      <c r="C4" s="107"/>
      <c r="D4" s="107"/>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153222287.79208061</v>
      </c>
      <c r="D9" s="8" t="s">
        <v>3</v>
      </c>
      <c r="E9" s="1"/>
    </row>
    <row r="10" spans="1:5" ht="15" customHeight="1" x14ac:dyDescent="0.25">
      <c r="A10" s="1"/>
      <c r="B10" s="64" t="s">
        <v>35</v>
      </c>
      <c r="C10" s="7">
        <v>788959.14159999997</v>
      </c>
      <c r="D10" s="8" t="s">
        <v>3</v>
      </c>
      <c r="E10" s="1"/>
    </row>
    <row r="11" spans="1:5" ht="15" customHeight="1" x14ac:dyDescent="0.25">
      <c r="A11" s="1"/>
      <c r="B11" s="64" t="s">
        <v>36</v>
      </c>
      <c r="C11" s="9">
        <v>4978925.6831999999</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12846405.947443953</v>
      </c>
      <c r="D16" s="8" t="s">
        <v>3</v>
      </c>
      <c r="E16" s="1"/>
    </row>
    <row r="17" spans="1:5" ht="15" customHeight="1" x14ac:dyDescent="0.25">
      <c r="A17" s="1"/>
      <c r="B17" s="64" t="s">
        <v>10</v>
      </c>
      <c r="C17" s="38">
        <v>0</v>
      </c>
      <c r="D17" s="8" t="s">
        <v>3</v>
      </c>
      <c r="E17" s="1"/>
    </row>
    <row r="18" spans="1:5" ht="15" customHeight="1" x14ac:dyDescent="0.25">
      <c r="A18" s="1"/>
      <c r="B18" s="64" t="s">
        <v>22</v>
      </c>
      <c r="C18" s="38">
        <v>-962245.42761882825</v>
      </c>
      <c r="D18" s="8" t="s">
        <v>3</v>
      </c>
      <c r="E18" s="1"/>
    </row>
    <row r="19" spans="1:5" ht="15" customHeight="1" x14ac:dyDescent="0.25">
      <c r="A19" s="1"/>
      <c r="B19" s="64" t="s">
        <v>23</v>
      </c>
      <c r="C19" s="38">
        <v>0</v>
      </c>
      <c r="D19" s="8" t="s">
        <v>3</v>
      </c>
      <c r="E19" s="43"/>
    </row>
    <row r="20" spans="1:5" ht="15" customHeight="1" x14ac:dyDescent="0.25">
      <c r="A20" s="1"/>
      <c r="B20" s="81" t="s">
        <v>21</v>
      </c>
      <c r="C20" s="10">
        <v>170874333.13670576</v>
      </c>
      <c r="D20" s="11" t="s">
        <v>3</v>
      </c>
      <c r="E20" s="1"/>
    </row>
    <row r="21" spans="1:5" ht="15" customHeight="1" x14ac:dyDescent="0.25">
      <c r="A21" s="1"/>
      <c r="B21" s="33" t="s">
        <v>12</v>
      </c>
      <c r="C21" s="28"/>
      <c r="D21" s="19"/>
      <c r="E21" s="1"/>
    </row>
    <row r="22" spans="1:5" ht="15" customHeight="1" x14ac:dyDescent="0.25">
      <c r="A22" s="1"/>
      <c r="B22" s="31" t="s">
        <v>12</v>
      </c>
      <c r="C22" s="10">
        <v>3919243.3021100797</v>
      </c>
      <c r="D22" s="11" t="s">
        <v>3</v>
      </c>
      <c r="E22" s="1"/>
    </row>
    <row r="23" spans="1:5" ht="15" customHeight="1" x14ac:dyDescent="0.25">
      <c r="A23" s="1"/>
      <c r="B23" s="33" t="s">
        <v>42</v>
      </c>
      <c r="C23" s="28"/>
      <c r="D23" s="19"/>
      <c r="E23" s="1"/>
    </row>
    <row r="24" spans="1:5" ht="15" customHeight="1" x14ac:dyDescent="0.25">
      <c r="A24" s="1"/>
      <c r="B24" s="81" t="s">
        <v>42</v>
      </c>
      <c r="C24" s="10">
        <v>0</v>
      </c>
      <c r="D24" s="11" t="s">
        <v>3</v>
      </c>
      <c r="E24" s="1"/>
    </row>
    <row r="25" spans="1:5" x14ac:dyDescent="0.25">
      <c r="A25" s="1"/>
      <c r="B25" s="41" t="s">
        <v>41</v>
      </c>
      <c r="C25" s="39"/>
      <c r="D25" s="40"/>
      <c r="E25" s="1"/>
    </row>
    <row r="26" spans="1:5" ht="15" customHeight="1" x14ac:dyDescent="0.25">
      <c r="A26" s="1"/>
      <c r="B26" s="64" t="s">
        <v>89</v>
      </c>
      <c r="C26" s="38">
        <v>1136809.5225066496</v>
      </c>
      <c r="D26" s="8" t="s">
        <v>3</v>
      </c>
      <c r="E26" s="1"/>
    </row>
    <row r="27" spans="1:5" ht="15" customHeight="1" x14ac:dyDescent="0.25">
      <c r="A27" s="1"/>
      <c r="B27" s="64" t="s">
        <v>38</v>
      </c>
      <c r="C27" s="38">
        <v>0</v>
      </c>
      <c r="D27" s="8" t="s">
        <v>3</v>
      </c>
      <c r="E27" s="1"/>
    </row>
    <row r="28" spans="1:5" ht="15" customHeight="1" x14ac:dyDescent="0.25">
      <c r="A28" s="1"/>
      <c r="B28" s="64" t="s">
        <v>92</v>
      </c>
      <c r="C28" s="38">
        <v>-22736.190450132992</v>
      </c>
      <c r="D28" s="8" t="s">
        <v>3</v>
      </c>
      <c r="E28" s="1"/>
    </row>
    <row r="29" spans="1:5" ht="15" customHeight="1" x14ac:dyDescent="0.25">
      <c r="A29" s="1"/>
      <c r="B29" s="64" t="s">
        <v>93</v>
      </c>
      <c r="C29" s="38">
        <v>0</v>
      </c>
      <c r="D29" s="8" t="s">
        <v>3</v>
      </c>
      <c r="E29" s="1"/>
    </row>
    <row r="30" spans="1:5" ht="15" customHeight="1" x14ac:dyDescent="0.25">
      <c r="A30" s="1"/>
      <c r="B30" s="67" t="s">
        <v>43</v>
      </c>
      <c r="C30" s="10">
        <v>1114073.3320565165</v>
      </c>
      <c r="D30" s="11" t="s">
        <v>3</v>
      </c>
      <c r="E30" s="1"/>
    </row>
    <row r="31" spans="1:5" ht="15" customHeight="1" x14ac:dyDescent="0.25">
      <c r="A31" s="1"/>
      <c r="B31" s="33" t="s">
        <v>69</v>
      </c>
      <c r="C31" s="28"/>
      <c r="D31" s="19"/>
      <c r="E31" s="1"/>
    </row>
    <row r="32" spans="1:5" ht="15" customHeight="1" x14ac:dyDescent="0.25">
      <c r="A32" s="1"/>
      <c r="B32" s="31" t="s">
        <v>79</v>
      </c>
      <c r="C32" s="10">
        <v>-2277517</v>
      </c>
      <c r="D32" s="11" t="s">
        <v>3</v>
      </c>
      <c r="E32" s="1"/>
    </row>
    <row r="33" spans="1:5" x14ac:dyDescent="0.25">
      <c r="A33" s="1"/>
      <c r="B33" s="33" t="s">
        <v>128</v>
      </c>
      <c r="C33" s="28"/>
      <c r="D33" s="19"/>
      <c r="E33" s="1"/>
    </row>
    <row r="34" spans="1:5" ht="15.4" customHeight="1" x14ac:dyDescent="0.25">
      <c r="A34" s="1"/>
      <c r="B34" s="31" t="s">
        <v>128</v>
      </c>
      <c r="C34" s="10">
        <v>0</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0" t="s">
        <v>213</v>
      </c>
      <c r="C37" s="28"/>
      <c r="D37" s="19"/>
      <c r="E37" s="1"/>
    </row>
    <row r="38" spans="1:5" x14ac:dyDescent="0.25">
      <c r="A38" s="1"/>
      <c r="B38" s="67" t="s">
        <v>214</v>
      </c>
      <c r="C38" s="10">
        <v>5190764.2519822493</v>
      </c>
      <c r="D38" s="11" t="s">
        <v>3</v>
      </c>
      <c r="E38" s="1"/>
    </row>
    <row r="39" spans="1:5" x14ac:dyDescent="0.25">
      <c r="A39" s="1"/>
      <c r="B39" s="33" t="s">
        <v>65</v>
      </c>
      <c r="C39" s="45">
        <v>178820897.0228546</v>
      </c>
      <c r="D39" s="30" t="s">
        <v>3</v>
      </c>
      <c r="E39" s="1"/>
    </row>
    <row r="40" spans="1:5" ht="30" customHeight="1" x14ac:dyDescent="0.25">
      <c r="A40" s="1"/>
      <c r="B40" s="106" t="s">
        <v>225</v>
      </c>
      <c r="C40" s="106"/>
      <c r="D40" s="106"/>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ptR1UYgOjx9N5j+Zu6zDN4jea2Q8/lp7HuqJZ2f1EmPyMSdxwUkR7JJ2/AncRLF6lPmZh5Za17hl/SRzafimJA==" saltValue="nkQFJKeNpLXn+P2sBEvNVA==" spinCount="100000" sheet="1" objects="1" scenarios="1"/>
  <mergeCells count="2">
    <mergeCell ref="B40:D40"/>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7" t="s">
        <v>56</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4"/>
      <c r="C6" s="74"/>
      <c r="D6" s="74"/>
      <c r="E6" s="1"/>
    </row>
    <row r="7" spans="1:5" x14ac:dyDescent="0.25">
      <c r="A7" s="1"/>
      <c r="B7" s="1"/>
      <c r="C7" s="1"/>
      <c r="D7" s="1"/>
      <c r="E7" s="1"/>
    </row>
    <row r="8" spans="1:5" x14ac:dyDescent="0.25">
      <c r="A8" s="1"/>
      <c r="B8" s="108" t="s">
        <v>123</v>
      </c>
      <c r="C8" s="109"/>
      <c r="D8" s="110"/>
      <c r="E8" s="1"/>
    </row>
    <row r="9" spans="1:5" x14ac:dyDescent="0.25">
      <c r="A9" s="1"/>
      <c r="B9" s="65" t="s">
        <v>88</v>
      </c>
      <c r="C9" s="23">
        <v>47259564.340700135</v>
      </c>
      <c r="D9" s="14" t="s">
        <v>3</v>
      </c>
      <c r="E9" s="1"/>
    </row>
    <row r="10" spans="1:5" x14ac:dyDescent="0.25">
      <c r="A10" s="1"/>
      <c r="B10" s="65" t="s">
        <v>125</v>
      </c>
      <c r="C10" s="23">
        <f>('Fane 3. Omkostninger i ØR2024'!C10+'Fane 3. Omkostninger i ØR2024'!C12+'Fane 3. Omkostninger i ØR2024'!C14)*(1+'Fane 15. Nøgletal'!C9)</f>
        <v>852707.04024127999</v>
      </c>
      <c r="D10" s="14" t="s">
        <v>3</v>
      </c>
      <c r="E10" s="1"/>
    </row>
    <row r="11" spans="1:5" x14ac:dyDescent="0.25">
      <c r="A11" s="1"/>
      <c r="B11" s="65" t="s">
        <v>131</v>
      </c>
      <c r="C11" s="23">
        <f>C9*'Fane 15. Nøgletal'!C21+C10*'Fane 15. Nøgletal'!C21</f>
        <v>962245.42761882825</v>
      </c>
      <c r="D11" s="14" t="s">
        <v>3</v>
      </c>
      <c r="E11" s="1"/>
    </row>
    <row r="12" spans="1:5" x14ac:dyDescent="0.25">
      <c r="A12" s="1"/>
      <c r="B12" s="33"/>
      <c r="C12" s="28"/>
      <c r="D12" s="19"/>
      <c r="E12" s="1"/>
    </row>
    <row r="13" spans="1:5" x14ac:dyDescent="0.25">
      <c r="A13" s="1"/>
      <c r="B13" s="1"/>
      <c r="C13" s="1"/>
      <c r="D13" s="1"/>
      <c r="E13" s="1"/>
    </row>
    <row r="14" spans="1:5" x14ac:dyDescent="0.25">
      <c r="A14" s="1"/>
      <c r="B14" s="108" t="s">
        <v>124</v>
      </c>
      <c r="C14" s="109"/>
      <c r="D14" s="110"/>
      <c r="E14" s="1"/>
    </row>
    <row r="15" spans="1:5" x14ac:dyDescent="0.25">
      <c r="A15" s="1"/>
      <c r="B15" s="65" t="s">
        <v>133</v>
      </c>
      <c r="C15" s="23">
        <f>(C9+C10-C11)*(1+'Fane 15. Nøgletal'!C9)</f>
        <v>50959748.050351046</v>
      </c>
      <c r="D15" s="14" t="s">
        <v>3</v>
      </c>
      <c r="E15" s="1"/>
    </row>
    <row r="16" spans="1:5" x14ac:dyDescent="0.25">
      <c r="A16" s="1"/>
      <c r="B16" s="65" t="s">
        <v>184</v>
      </c>
      <c r="C16" s="23">
        <f>('Fane 2.1. Økonomisk ramme 2025'!C10+'Fane 2.1. Økonomisk ramme 2025'!C12+'Fane 2.1. Økonomisk ramme 2025'!C14)*(1+'Fane 15. Nøgletal'!C10)</f>
        <v>329114.77242740005</v>
      </c>
      <c r="D16" s="14" t="s">
        <v>3</v>
      </c>
      <c r="E16" s="1"/>
    </row>
    <row r="17" spans="1:5" x14ac:dyDescent="0.25">
      <c r="A17" s="1"/>
      <c r="B17" s="65" t="s">
        <v>132</v>
      </c>
      <c r="C17" s="23">
        <f>C15*'Fane 15. Nøgletal'!C21+C16*'Fane 15. Nøgletal'!C21</f>
        <v>1025777.2564555689</v>
      </c>
      <c r="D17" s="14" t="s">
        <v>3</v>
      </c>
      <c r="E17" s="1"/>
    </row>
    <row r="18" spans="1:5" x14ac:dyDescent="0.25">
      <c r="A18" s="1"/>
      <c r="B18" s="33"/>
      <c r="C18" s="28"/>
      <c r="D18" s="19"/>
      <c r="E18" s="1"/>
    </row>
    <row r="19" spans="1:5" x14ac:dyDescent="0.25">
      <c r="A19" s="1"/>
      <c r="B19" s="1"/>
      <c r="C19" s="63"/>
      <c r="D19" s="1"/>
      <c r="E19" s="1"/>
    </row>
    <row r="20" spans="1:5" x14ac:dyDescent="0.25">
      <c r="A20" s="1"/>
      <c r="B20" s="108" t="s">
        <v>145</v>
      </c>
      <c r="C20" s="109"/>
      <c r="D20" s="110"/>
      <c r="E20" s="1"/>
    </row>
    <row r="21" spans="1:5" x14ac:dyDescent="0.25">
      <c r="A21" s="1"/>
      <c r="B21" s="65" t="s">
        <v>189</v>
      </c>
      <c r="C21" s="23">
        <f>(C15+C16-C17)*(1+'Fane 15. Nøgletal'!C10)</f>
        <v>53595528.139370084</v>
      </c>
      <c r="D21" s="14" t="s">
        <v>3</v>
      </c>
      <c r="E21" s="1"/>
    </row>
    <row r="22" spans="1:5" x14ac:dyDescent="0.25">
      <c r="A22" s="1"/>
      <c r="B22" s="65" t="s">
        <v>196</v>
      </c>
      <c r="C22" s="23">
        <f>C21*'Fane 15. Nøgletal'!C21</f>
        <v>1071910.5627874017</v>
      </c>
      <c r="D22" s="14" t="s">
        <v>3</v>
      </c>
      <c r="E22" s="1"/>
    </row>
    <row r="23" spans="1:5" x14ac:dyDescent="0.25">
      <c r="A23" s="1"/>
      <c r="B23" s="33"/>
      <c r="C23" s="28"/>
      <c r="D23" s="19"/>
      <c r="E23" s="1"/>
    </row>
    <row r="24" spans="1:5" x14ac:dyDescent="0.25">
      <c r="A24" s="1"/>
      <c r="B24" s="1"/>
      <c r="C24" s="1"/>
      <c r="D24" s="1"/>
      <c r="E24" s="1"/>
    </row>
    <row r="25" spans="1:5" x14ac:dyDescent="0.25">
      <c r="A25" s="1"/>
      <c r="B25" s="108" t="s">
        <v>187</v>
      </c>
      <c r="C25" s="109"/>
      <c r="D25" s="110"/>
      <c r="E25" s="1"/>
    </row>
    <row r="26" spans="1:5" x14ac:dyDescent="0.25">
      <c r="A26" s="1"/>
      <c r="B26" s="65" t="s">
        <v>190</v>
      </c>
      <c r="C26" s="23">
        <f>(C21-C22)*(1+'Fane 15. Nøgletal'!C10)</f>
        <v>56005933.421910122</v>
      </c>
      <c r="D26" s="14" t="s">
        <v>3</v>
      </c>
      <c r="E26" s="1"/>
    </row>
    <row r="27" spans="1:5" x14ac:dyDescent="0.25">
      <c r="A27" s="1"/>
      <c r="B27" s="65" t="s">
        <v>194</v>
      </c>
      <c r="C27" s="23">
        <f>C26*'Fane 15. Nøgletal'!C21</f>
        <v>1120118.6684382025</v>
      </c>
      <c r="D27" s="14" t="s">
        <v>3</v>
      </c>
      <c r="E27" s="1"/>
    </row>
    <row r="28" spans="1:5" x14ac:dyDescent="0.25">
      <c r="A28" s="1"/>
      <c r="B28" s="33"/>
      <c r="C28" s="28"/>
      <c r="D28" s="19"/>
      <c r="E28" s="1"/>
    </row>
    <row r="29" spans="1:5" x14ac:dyDescent="0.25">
      <c r="A29" s="1"/>
      <c r="B29" s="1"/>
      <c r="C29" s="1"/>
      <c r="D29" s="1"/>
      <c r="E29" s="1"/>
    </row>
    <row r="30" spans="1:5" x14ac:dyDescent="0.25">
      <c r="A30" s="1"/>
      <c r="B30" s="108" t="s">
        <v>188</v>
      </c>
      <c r="C30" s="109"/>
      <c r="D30" s="110"/>
      <c r="E30" s="1"/>
    </row>
    <row r="31" spans="1:5" x14ac:dyDescent="0.25">
      <c r="A31" s="1"/>
      <c r="B31" s="65" t="s">
        <v>191</v>
      </c>
      <c r="C31" s="23">
        <f>(C26-C27)*(1+'Fane 15. Nøgletal'!C10)</f>
        <v>58524744.271627106</v>
      </c>
      <c r="D31" s="14" t="s">
        <v>3</v>
      </c>
      <c r="E31" s="1"/>
    </row>
    <row r="32" spans="1:5" x14ac:dyDescent="0.25">
      <c r="A32" s="1"/>
      <c r="B32" s="65" t="s">
        <v>195</v>
      </c>
      <c r="C32" s="23">
        <f>C31*'Fane 15. Nøgletal'!C21</f>
        <v>1170494.8854325421</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RC7/+IecufUxMsb/r7iLBg1/vinESw6jXR2Jf/ILE8N04rv7jQLaSEzmWaf6JEDCFvvA9NrhMyxi0kvu071yBg==" saltValue="t4kA3i14Fo6a0HC/t9bwGg=="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1" t="s">
        <v>57</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35">
      <c r="A6" s="1"/>
      <c r="B6" s="69"/>
      <c r="C6" s="69"/>
      <c r="D6" s="69"/>
      <c r="E6" s="1"/>
    </row>
    <row r="7" spans="1:5" x14ac:dyDescent="0.25">
      <c r="A7" s="1"/>
      <c r="B7" s="1"/>
      <c r="C7" s="1"/>
      <c r="D7" s="1"/>
      <c r="E7" s="1"/>
    </row>
    <row r="8" spans="1:5" x14ac:dyDescent="0.25">
      <c r="A8" s="1"/>
      <c r="B8" s="108" t="s">
        <v>147</v>
      </c>
      <c r="C8" s="109"/>
      <c r="D8" s="110"/>
      <c r="E8" s="1"/>
    </row>
    <row r="9" spans="1:5" x14ac:dyDescent="0.25">
      <c r="A9" s="1"/>
      <c r="B9" s="65" t="s">
        <v>134</v>
      </c>
      <c r="C9" s="23">
        <v>125677298.38395819</v>
      </c>
      <c r="D9" s="14" t="s">
        <v>3</v>
      </c>
      <c r="E9" s="1"/>
    </row>
    <row r="10" spans="1:5" x14ac:dyDescent="0.25">
      <c r="A10" s="1"/>
      <c r="B10" s="65" t="s">
        <v>126</v>
      </c>
      <c r="C10" s="23">
        <f>('Fane 3. Omkostninger i ØR2024'!C11+'Fane 3. Omkostninger i ØR2024'!C13+'Fane 3. Omkostninger i ØR2024'!C15)*(1+'Fane 15. Nøgletal'!C9)</f>
        <v>5381222.87840256</v>
      </c>
      <c r="D10" s="14" t="s">
        <v>3</v>
      </c>
      <c r="E10" s="1"/>
    </row>
    <row r="11" spans="1:5" x14ac:dyDescent="0.25">
      <c r="A11" s="1"/>
      <c r="B11" s="65" t="s">
        <v>135</v>
      </c>
      <c r="C11" s="82">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8" t="s">
        <v>146</v>
      </c>
      <c r="C14" s="109"/>
      <c r="D14" s="110"/>
      <c r="E14" s="1"/>
    </row>
    <row r="15" spans="1:5" x14ac:dyDescent="0.25">
      <c r="A15" s="1"/>
      <c r="B15" s="65" t="s">
        <v>136</v>
      </c>
      <c r="C15" s="23">
        <f>(C9+C10-C11)*(1+'Fane 15. Nøgletal'!C9)</f>
        <v>141648049.78035951</v>
      </c>
      <c r="D15" s="14" t="s">
        <v>3</v>
      </c>
      <c r="E15" s="1"/>
    </row>
    <row r="16" spans="1:5" x14ac:dyDescent="0.25">
      <c r="A16" s="1"/>
      <c r="B16" s="65" t="s">
        <v>185</v>
      </c>
      <c r="C16" s="23">
        <f>('Fane 2.1. Økonomisk ramme 2025'!C11+'Fane 2.1. Økonomisk ramme 2025'!C13+'Fane 2.1. Økonomisk ramme 2025'!C15)*(1+'Fane 15. Nøgletal'!C10)</f>
        <v>3228893.7992594303</v>
      </c>
      <c r="D16" s="14" t="s">
        <v>3</v>
      </c>
      <c r="E16" s="1"/>
    </row>
    <row r="17" spans="1:5" x14ac:dyDescent="0.25">
      <c r="A17" s="1"/>
      <c r="B17" s="65" t="s">
        <v>137</v>
      </c>
      <c r="C17" s="82">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8" t="s">
        <v>82</v>
      </c>
      <c r="C20" s="109"/>
      <c r="D20" s="110"/>
      <c r="E20" s="1"/>
    </row>
    <row r="21" spans="1:5" x14ac:dyDescent="0.25">
      <c r="A21" s="1"/>
      <c r="B21" s="65" t="s">
        <v>192</v>
      </c>
      <c r="C21" s="23">
        <f>(C15+C16-C17)*(1+'Fane 15. Nøgletal'!C10)</f>
        <v>154482284.93894768</v>
      </c>
      <c r="D21" s="14" t="s">
        <v>3</v>
      </c>
      <c r="E21" s="1"/>
    </row>
    <row r="22" spans="1:5" x14ac:dyDescent="0.25">
      <c r="A22" s="1"/>
      <c r="B22" s="65" t="s">
        <v>197</v>
      </c>
      <c r="C22" s="82">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8" t="s">
        <v>138</v>
      </c>
      <c r="C25" s="109"/>
      <c r="D25" s="110"/>
      <c r="E25" s="1"/>
    </row>
    <row r="26" spans="1:5" x14ac:dyDescent="0.25">
      <c r="A26" s="1"/>
      <c r="B26" s="65" t="s">
        <v>193</v>
      </c>
      <c r="C26" s="23">
        <f>(C21-C22)*(1+'Fane 15. Nøgletal'!C10)</f>
        <v>164724460.43039992</v>
      </c>
      <c r="D26" s="14" t="s">
        <v>3</v>
      </c>
      <c r="E26" s="1"/>
    </row>
    <row r="27" spans="1:5" x14ac:dyDescent="0.25">
      <c r="A27" s="1"/>
      <c r="B27" s="65" t="s">
        <v>198</v>
      </c>
      <c r="C27" s="82">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8" t="s">
        <v>163</v>
      </c>
      <c r="C30" s="109"/>
      <c r="D30" s="110"/>
      <c r="E30" s="1"/>
    </row>
    <row r="31" spans="1:5" x14ac:dyDescent="0.25">
      <c r="A31" s="1"/>
      <c r="B31" s="65" t="s">
        <v>200</v>
      </c>
      <c r="C31" s="23">
        <f>(C26-C27)*(1+'Fane 15. Nøgletal'!C10)</f>
        <v>175645692.15693545</v>
      </c>
      <c r="D31" s="14" t="s">
        <v>3</v>
      </c>
      <c r="E31" s="1"/>
    </row>
    <row r="32" spans="1:5" x14ac:dyDescent="0.25">
      <c r="A32" s="1"/>
      <c r="B32" s="65" t="s">
        <v>199</v>
      </c>
      <c r="C32" s="82">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nPJUZFwkqZncdCflRUbSD8A2eNVIP2wSsytgdAohvAsa9Wz7tEezr+dGLHhe2PHTRHQM3YlAXvN4Ed7ArXLGiQ==" saltValue="u/tCbpWV7Glt8Vd1hDJL9A=="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4" t="s">
        <v>44</v>
      </c>
      <c r="C3" s="104"/>
      <c r="D3" s="1"/>
    </row>
    <row r="4" spans="1:4" ht="15" customHeight="1" x14ac:dyDescent="0.25">
      <c r="A4" s="1"/>
      <c r="B4" s="104"/>
      <c r="C4" s="10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8" t="s">
        <v>10</v>
      </c>
      <c r="C8" s="110"/>
      <c r="D8" s="1"/>
    </row>
    <row r="9" spans="1:4" x14ac:dyDescent="0.25">
      <c r="A9" s="1"/>
      <c r="B9" s="65" t="s">
        <v>164</v>
      </c>
      <c r="C9" s="22">
        <v>0</v>
      </c>
      <c r="D9" s="1"/>
    </row>
    <row r="10" spans="1:4" x14ac:dyDescent="0.25">
      <c r="A10" s="1"/>
      <c r="B10" s="33"/>
      <c r="C10" s="19"/>
      <c r="D10" s="1"/>
    </row>
    <row r="11" spans="1:4" x14ac:dyDescent="0.25">
      <c r="A11" s="1"/>
      <c r="B11" s="112" t="s">
        <v>220</v>
      </c>
      <c r="C11" s="113"/>
      <c r="D11" s="1"/>
    </row>
    <row r="12" spans="1:4" x14ac:dyDescent="0.25">
      <c r="A12" s="1"/>
      <c r="B12" s="114"/>
      <c r="C12" s="115"/>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1UIMDpElXl6tQhfZoe5aMOWECBgQmwB1/QHFKzD486vdGRrIXi0QPHdGMWMsLhJMykAIWxHa4aWBvx0EaxStQQ==" saltValue="vj5/pMjf2XKHldxrVC35zA=="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2024-05-06T07:45:39Z</cp:lastPrinted>
  <dcterms:created xsi:type="dcterms:W3CDTF">2016-06-02T08:51:18Z</dcterms:created>
  <dcterms:modified xsi:type="dcterms:W3CDTF">2024-08-23T11:50:30Z</dcterms:modified>
</cp:coreProperties>
</file>