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FORS Vand Lejre AS (V11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C14" i="7"/>
  <c r="E10" i="2" l="1"/>
  <c r="E14" i="6"/>
  <c r="C11" i="12" l="1"/>
  <c r="C12" i="12" s="1"/>
  <c r="C15" i="7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2" i="10" s="1"/>
  <c r="C13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2" i="10" s="1"/>
  <c r="E13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<sst xmlns="http://schemas.openxmlformats.org/spreadsheetml/2006/main" count="408" uniqueCount="155">
  <si>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</si>
  <si>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</si>
  <si>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</si>
  <si>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</si>
  <si>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</si>
  <si>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</si>
  <si>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</si>
  <si>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</si>
  <si>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</si>
  <si>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</si>
  <si>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</si>
  <si>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</si>
  <si>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</si>
  <si>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</si>
  <si>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</si>
  <si>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</si>
  <si>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</si>
  <si>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</si>
  <si>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</si>
  <si>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</si>
  <si>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</si>
  <si>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</si>
  <si>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</si>
  <si>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</si>
  <si>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</si>
  <si>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</si>
  <si>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</si>
  <si>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</si>
  <si>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</si>
  <si>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</si>
  <si>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</si>
  <si>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</si>
  <si>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</si>
  <si>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</si>
  <si>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</si>
  <si>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</si>
  <si>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</si>
  <si>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</si>
  <si>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</si>
  <si>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</si>
  <si>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</si>
  <si>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</si>
  <si>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</si>
  <si>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</si>
  <si>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</si>
  <si>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</si>
  <si>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</si>
  <si>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</si>
  <si>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</si>
  <si>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</si>
  <si>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</si>
  <si>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</si>
  <si>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</si>
  <si>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</si>
  <si>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</si>
  <si>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</si>
  <si>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</si>
  <si>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</si>
  <si>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</si>
  <si>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</si>
  <si>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</si>
  <si>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</si>
  <si>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</si>
  <si>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</si>
  <si>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</si>
  <si>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</si>
  <si>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</si>
  <si>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</si>
  <si>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</si>
  <si>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</si>
  <si>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</si>
  <si>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</si>
  <si>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</si>
  <si>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</si>
  <si>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</si>
  <si>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</si>
  <si>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</si>
  <si>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</si>
  <si>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</si>
  <si>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</si>
  <si>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</si>
  <si>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</si>
  <si>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</si>
  <si>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</si>
  <si>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</si>
  <si>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</si>
  <si>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</si>
  <si>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</si>
  <si>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</si>
  <si>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</si>
  <si>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</si>
  <si>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</si>
  <si>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</si>
  <si>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</si>
  <si>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</si>
  <si>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</si>
  <si>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</si>
  <si>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</si>
  <si>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</si>
  <si>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</si>
  <si>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</si>
  <si>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</si>
  <si>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</si>
  <si>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</si>
  <si>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</si>
  <si>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</si>
  <si>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</si>
  <si>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</si>
  <si>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</si>
  <si>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</si>
  <si>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</si>
  <si>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</si>
  <si>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</si>
  <si>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</si>
  <si>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</si>
  <si>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</si>
  <si>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</si>
  <si>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</si>
  <si>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</si>
  <si>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</si>
  <si>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</si>
  <si>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</si>
  <si>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</si>
  <si>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</si>
  <si>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</si>
  <si>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</si>
  <si>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</si>
  <si>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</si>
  <si>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</si>
  <si>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Udvidelse - Rynkebjerggård</t>
  </si>
  <si>
    <t>Ingen tilknyttet virksomhed</t>
  </si>
  <si>
    <t>Ingen engangstillæg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</si>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</sst>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3" t="s">
        <v>94</v>
      </c>
      <c r="E8" s="73"/>
      <c r="F8" s="73"/>
      <c r="G8" s="73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2" t="s">
        <v>5</v>
      </c>
      <c r="E11" s="72"/>
      <c r="F11" s="72"/>
      <c r="G11" s="72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87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15</v>
      </c>
      <c r="D14" s="68" t="s">
        <v>37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32</v>
      </c>
      <c r="D15" s="68" t="s">
        <v>63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33</v>
      </c>
      <c r="D16" s="68" t="s">
        <v>95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59</v>
      </c>
      <c r="D17" s="68" t="s">
        <v>96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7</v>
      </c>
      <c r="D18" s="65" t="s">
        <v>12</v>
      </c>
      <c r="E18" s="66"/>
      <c r="F18" s="66"/>
      <c r="G18" s="67"/>
      <c r="H18" s="1"/>
      <c r="I18" s="1"/>
    </row>
    <row r="19" spans="1:9" x14ac:dyDescent="0.45">
      <c r="A19" s="1"/>
      <c r="B19" s="1"/>
      <c r="C19" s="6" t="s">
        <v>8</v>
      </c>
      <c r="D19" s="59" t="s">
        <v>97</v>
      </c>
      <c r="E19" s="60"/>
      <c r="F19" s="60"/>
      <c r="G19" s="61"/>
      <c r="H19" s="1"/>
      <c r="I19" s="1"/>
    </row>
    <row r="20" spans="1:9" x14ac:dyDescent="0.45">
      <c r="A20" s="1"/>
      <c r="B20" s="1"/>
      <c r="C20" s="6" t="s">
        <v>56</v>
      </c>
      <c r="D20" s="59" t="s">
        <v>34</v>
      </c>
      <c r="E20" s="60"/>
      <c r="F20" s="60"/>
      <c r="G20" s="61"/>
      <c r="H20" s="1"/>
      <c r="I20" s="1"/>
    </row>
    <row r="21" spans="1:9" x14ac:dyDescent="0.45">
      <c r="A21" s="1"/>
      <c r="B21" s="1"/>
      <c r="C21" s="6" t="s">
        <v>82</v>
      </c>
      <c r="D21" s="59" t="s">
        <v>41</v>
      </c>
      <c r="E21" s="60"/>
      <c r="F21" s="60"/>
      <c r="G21" s="61"/>
      <c r="H21" s="1"/>
      <c r="I21" s="1"/>
    </row>
    <row r="22" spans="1:9" x14ac:dyDescent="0.45">
      <c r="A22" s="1"/>
      <c r="B22" s="1"/>
      <c r="C22" s="6" t="s">
        <v>83</v>
      </c>
      <c r="D22" s="59" t="s">
        <v>42</v>
      </c>
      <c r="E22" s="60"/>
      <c r="F22" s="60"/>
      <c r="G22" s="61"/>
      <c r="H22" s="1"/>
      <c r="I22" s="1"/>
    </row>
    <row r="23" spans="1:9" x14ac:dyDescent="0.45">
      <c r="A23" s="1"/>
      <c r="B23" s="1"/>
      <c r="C23" s="6" t="s">
        <v>84</v>
      </c>
      <c r="D23" s="59" t="s">
        <v>64</v>
      </c>
      <c r="E23" s="60"/>
      <c r="F23" s="60"/>
      <c r="G23" s="61"/>
      <c r="H23" s="1"/>
      <c r="I23" s="1"/>
    </row>
    <row r="24" spans="1:9" x14ac:dyDescent="0.45">
      <c r="A24" s="1"/>
      <c r="B24" s="1"/>
      <c r="C24" s="6" t="s">
        <v>9</v>
      </c>
      <c r="D24" s="59" t="s">
        <v>35</v>
      </c>
      <c r="E24" s="60"/>
      <c r="F24" s="60"/>
      <c r="G24" s="61"/>
      <c r="H24" s="1"/>
      <c r="I24" s="1"/>
    </row>
    <row r="25" spans="1:9" x14ac:dyDescent="0.45">
      <c r="A25" s="1"/>
      <c r="B25" s="1"/>
      <c r="C25" s="6" t="s">
        <v>50</v>
      </c>
      <c r="D25" s="62" t="s">
        <v>57</v>
      </c>
      <c r="E25" s="63"/>
      <c r="F25" s="63"/>
      <c r="G25" s="64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Sty1QgfGyiMMdcELN5uacHkDnq0KSY39Au30JsKRECWjmSUAaMubI7KIYnHuSVPtU9kpxoqSHskBn/Yr2egfw==" saltValue="C7xxUAuPyqKYmzLlwkVbP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89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6" t="s">
        <v>38</v>
      </c>
      <c r="C8" s="22"/>
      <c r="D8" s="22"/>
      <c r="E8" s="22"/>
      <c r="F8" s="57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37" t="s">
        <v>129</v>
      </c>
      <c r="C11" s="19">
        <v>497</v>
      </c>
      <c r="D11" s="12" t="s">
        <v>3</v>
      </c>
      <c r="E11" s="8">
        <v>5290</v>
      </c>
      <c r="F11" s="12" t="s">
        <v>3</v>
      </c>
      <c r="G11" s="1"/>
    </row>
    <row r="12" spans="1:7" x14ac:dyDescent="0.45">
      <c r="A12" s="1"/>
      <c r="B12" s="56" t="s">
        <v>69</v>
      </c>
      <c r="C12" s="10">
        <f>SUM(C10:C11)</f>
        <v>497</v>
      </c>
      <c r="D12" s="11" t="s">
        <v>3</v>
      </c>
      <c r="E12" s="10">
        <f>SUM(E10:E11)</f>
        <v>5290</v>
      </c>
      <c r="F12" s="11" t="s">
        <v>3</v>
      </c>
      <c r="G12" s="1"/>
    </row>
    <row r="13" spans="1:7" x14ac:dyDescent="0.45">
      <c r="A13" s="1"/>
      <c r="B13" s="56" t="s">
        <v>110</v>
      </c>
      <c r="C13" s="10">
        <f>C12*(1+'Fane 10. Nøgletal'!C14)</f>
        <v>498.64010000000002</v>
      </c>
      <c r="D13" s="11" t="s">
        <v>3</v>
      </c>
      <c r="E13" s="10">
        <f>E12*(1+'Fane 10. Nøgletal'!C14)</f>
        <v>5307.4570000000003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vhxDwrEOGqYHlMYsDf5HTqF2ihVNeOLUSQyfAybYiR4Pp7ON/SwOI4eobNfDjD2LRuESIfbz+OxSon380fIWNg==" saltValue="xQczAHPoxzAK8qjTcJrcGg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51</v>
      </c>
      <c r="C8" s="90"/>
      <c r="D8" s="90"/>
      <c r="E8" s="90"/>
      <c r="F8" s="91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5"/>
      <c r="G9" s="1"/>
    </row>
    <row r="10" spans="1:7" x14ac:dyDescent="0.45">
      <c r="A10" s="1"/>
      <c r="B10" s="20" t="s">
        <v>131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6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6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52</v>
      </c>
      <c r="C15" s="90"/>
      <c r="D15" s="90"/>
      <c r="E15" s="90"/>
      <c r="F15" s="91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5"/>
      <c r="G16" s="1"/>
    </row>
    <row r="17" spans="1:7" x14ac:dyDescent="0.45">
      <c r="A17" s="1"/>
      <c r="B17" s="20" t="s">
        <v>131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6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6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9" t="s">
        <v>77</v>
      </c>
      <c r="C22" s="90"/>
      <c r="D22" s="90"/>
      <c r="E22" s="90"/>
      <c r="F22" s="91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5"/>
      <c r="G23" s="1"/>
    </row>
    <row r="24" spans="1:7" x14ac:dyDescent="0.45">
      <c r="A24" s="1"/>
      <c r="B24" s="20" t="s">
        <v>131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6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6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9" t="s">
        <v>112</v>
      </c>
      <c r="C29" s="90"/>
      <c r="D29" s="90"/>
      <c r="E29" s="90"/>
      <c r="F29" s="91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5"/>
      <c r="G30" s="1"/>
    </row>
    <row r="31" spans="1:7" x14ac:dyDescent="0.45">
      <c r="A31" s="1"/>
      <c r="B31" s="20" t="s">
        <v>131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6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6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Rjt7dmitMd3k1IE11/BbXPJdIjUaoYAeKZYL7qQdjEfsQF3JVhtCc/AVljiOToreYaH3eur/4XTuTzHhnvl4xA==" saltValue="xkOi5mpMhOcM9PSdMi+22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91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71</v>
      </c>
      <c r="C8" s="90"/>
      <c r="D8" s="90"/>
      <c r="E8" s="90"/>
      <c r="F8" s="91"/>
      <c r="G8" s="1"/>
    </row>
    <row r="9" spans="1:7" ht="15" customHeight="1" x14ac:dyDescent="0.45">
      <c r="A9" s="1"/>
      <c r="B9" s="54" t="s">
        <v>78</v>
      </c>
      <c r="C9" s="105" t="s">
        <v>11</v>
      </c>
      <c r="D9" s="106"/>
      <c r="E9" s="105" t="s">
        <v>28</v>
      </c>
      <c r="F9" s="106"/>
      <c r="G9" s="1"/>
    </row>
    <row r="10" spans="1:7" x14ac:dyDescent="0.45">
      <c r="A10" s="1"/>
      <c r="B10" s="20" t="s">
        <v>130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nvXcRF5GcBQFRwPfrL38EmKLTwwkCURlIj3mdEhlra4CfOyplJGKOGbFIWXcGIVcioHrrv7PT2Cp96sawDtGag==" saltValue="NwiSuHYftLHDmIVUSAymzg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92</v>
      </c>
      <c r="C3" s="76"/>
      <c r="D3" s="76"/>
      <c r="E3" s="76"/>
      <c r="F3" s="76"/>
      <c r="G3" s="1"/>
    </row>
    <row r="4" spans="1:7" ht="25.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48</v>
      </c>
      <c r="C8" s="90"/>
      <c r="D8" s="90"/>
      <c r="E8" s="90"/>
      <c r="F8" s="91"/>
      <c r="G8" s="1"/>
    </row>
    <row r="9" spans="1:7" ht="15" customHeight="1" x14ac:dyDescent="0.45">
      <c r="A9" s="1"/>
      <c r="B9" s="54" t="s">
        <v>17</v>
      </c>
      <c r="C9" s="54" t="s">
        <v>11</v>
      </c>
      <c r="D9" s="55"/>
      <c r="E9" s="54" t="s">
        <v>28</v>
      </c>
      <c r="F9" s="55"/>
      <c r="G9" s="1"/>
    </row>
    <row r="10" spans="1:7" x14ac:dyDescent="0.45">
      <c r="A10" s="1"/>
      <c r="B10" s="20" t="s">
        <v>136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6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6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9" t="s">
        <v>49</v>
      </c>
      <c r="C14" s="90"/>
      <c r="D14" s="90"/>
      <c r="E14" s="90"/>
      <c r="F14" s="91"/>
      <c r="G14" s="1"/>
    </row>
    <row r="15" spans="1:7" x14ac:dyDescent="0.45">
      <c r="A15" s="1"/>
      <c r="B15" s="54" t="s">
        <v>17</v>
      </c>
      <c r="C15" s="54" t="s">
        <v>11</v>
      </c>
      <c r="D15" s="55"/>
      <c r="E15" s="54" t="s">
        <v>28</v>
      </c>
      <c r="F15" s="55"/>
      <c r="G15" s="1"/>
    </row>
    <row r="16" spans="1:7" x14ac:dyDescent="0.45">
      <c r="A16" s="1"/>
      <c r="B16" s="20" t="s">
        <v>136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6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6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9" t="s">
        <v>73</v>
      </c>
      <c r="C20" s="90"/>
      <c r="D20" s="90"/>
      <c r="E20" s="90"/>
      <c r="F20" s="91"/>
      <c r="G20" s="1"/>
    </row>
    <row r="21" spans="1:7" x14ac:dyDescent="0.45">
      <c r="A21" s="1"/>
      <c r="B21" s="54" t="s">
        <v>17</v>
      </c>
      <c r="C21" s="54" t="s">
        <v>11</v>
      </c>
      <c r="D21" s="55"/>
      <c r="E21" s="54" t="s">
        <v>28</v>
      </c>
      <c r="F21" s="55"/>
      <c r="G21" s="1"/>
    </row>
    <row r="22" spans="1:7" x14ac:dyDescent="0.45">
      <c r="A22" s="1"/>
      <c r="B22" s="20" t="s">
        <v>136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6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6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9" t="s">
        <v>116</v>
      </c>
      <c r="C26" s="90"/>
      <c r="D26" s="90"/>
      <c r="E26" s="90"/>
      <c r="F26" s="91"/>
      <c r="G26" s="1"/>
    </row>
    <row r="27" spans="1:7" x14ac:dyDescent="0.45">
      <c r="A27" s="1"/>
      <c r="B27" s="54" t="s">
        <v>17</v>
      </c>
      <c r="C27" s="54" t="s">
        <v>11</v>
      </c>
      <c r="D27" s="55"/>
      <c r="E27" s="54" t="s">
        <v>28</v>
      </c>
      <c r="F27" s="55"/>
      <c r="G27" s="1"/>
    </row>
    <row r="28" spans="1:7" x14ac:dyDescent="0.45">
      <c r="A28" s="1"/>
      <c r="B28" s="20" t="s">
        <v>136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6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6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zM08BIu17bg0+CaF7iiLdEgws+d8GrN5BFdsHZ5rWsk1R6ciKNjQj6Kv8e2jiLKZCVXaw9AFTNanOZMxDyOOAg==" saltValue="J4tnwRINYLdJnOOVmGjsaw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76" t="s">
        <v>93</v>
      </c>
      <c r="C3" s="76"/>
      <c r="D3" s="1"/>
    </row>
    <row r="4" spans="1:4" ht="25.5" customHeight="1" x14ac:dyDescent="0.45">
      <c r="A4" s="1"/>
      <c r="B4" s="76"/>
      <c r="C4" s="7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6" t="s">
        <v>14</v>
      </c>
      <c r="C8" s="57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6"/>
      <c r="C15" s="57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6" t="s">
        <v>54</v>
      </c>
      <c r="C18" s="57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7"/>
      <c r="C20" s="108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6NjCHSMgHJ0QLpAixRu1xjD6Vr6FC3JOUpb36pAn4NmZFRJjUM5TjHpI4tqxDCcv6A/qZfgynZezx6EdAkOshQ==" saltValue="ME9EoyyiB4xLXMjFj3KQVA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98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x14ac:dyDescent="0.45">
      <c r="A9" s="1"/>
      <c r="B9" s="39" t="s">
        <v>24</v>
      </c>
      <c r="C9" s="39"/>
      <c r="D9" s="39"/>
      <c r="E9" s="7">
        <f>'Fane 3. Omkostninger i ØR2021'!E16</f>
        <v>2771747.3236628333</v>
      </c>
      <c r="F9" s="39" t="s">
        <v>3</v>
      </c>
      <c r="G9" s="1"/>
    </row>
    <row r="10" spans="1:7" ht="17.100000000000001" customHeight="1" x14ac:dyDescent="0.45">
      <c r="A10" s="1"/>
      <c r="B10" s="33" t="s">
        <v>121</v>
      </c>
      <c r="C10" s="39"/>
      <c r="D10" s="39"/>
      <c r="E10" s="7">
        <f>'Fane 3. Omkostninger i ØR2021'!E13*(1-'Fane 10. Nøgletal'!C19)*(1+'Fane 10. Nøgletal'!C13)</f>
        <v>0</v>
      </c>
      <c r="F10" s="39" t="s">
        <v>3</v>
      </c>
      <c r="G10" s="1"/>
    </row>
    <row r="11" spans="1:7" ht="17.100000000000001" customHeight="1" x14ac:dyDescent="0.45">
      <c r="A11" s="1"/>
      <c r="B11" s="29" t="s">
        <v>60</v>
      </c>
      <c r="C11" s="39"/>
      <c r="D11" s="39"/>
      <c r="E11" s="7">
        <f>'Fane 7.1. Varige tillæg'!C13+'Fane 7.1. Varige tillæg'!E13</f>
        <v>5806.0971</v>
      </c>
      <c r="F11" s="39" t="s">
        <v>3</v>
      </c>
      <c r="G11" s="1"/>
    </row>
    <row r="12" spans="1:7" ht="17.100000000000001" customHeight="1" x14ac:dyDescent="0.45">
      <c r="A12" s="1"/>
      <c r="B12" s="29" t="s">
        <v>62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45">
      <c r="A13" s="1"/>
      <c r="B13" s="29" t="s">
        <v>65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45">
      <c r="A14" s="1"/>
      <c r="B14" s="29" t="s">
        <v>18</v>
      </c>
      <c r="C14" s="39"/>
      <c r="D14" s="39"/>
      <c r="E14" s="8">
        <f>E9*'Fane 10. Nøgletal'!C13+SUM(E11:E13)*'Fane 10. Nøgletal'!C14</f>
        <v>33834.477469116573</v>
      </c>
      <c r="F14" s="39" t="s">
        <v>3</v>
      </c>
      <c r="G14" s="1"/>
    </row>
    <row r="15" spans="1:7" ht="17.100000000000001" customHeight="1" x14ac:dyDescent="0.45">
      <c r="A15" s="1"/>
      <c r="B15" s="29" t="s">
        <v>54</v>
      </c>
      <c r="C15" s="39"/>
      <c r="D15" s="39"/>
      <c r="E15" s="8">
        <f>-SUM(E9,E11:E14)*'Fane 10. Nøgletal'!C19</f>
        <v>-47793.594269943147</v>
      </c>
      <c r="F15" s="39" t="s">
        <v>3</v>
      </c>
      <c r="G15" s="1"/>
    </row>
    <row r="16" spans="1:7" ht="15" customHeight="1" x14ac:dyDescent="0.45">
      <c r="A16" s="1"/>
      <c r="B16" s="53" t="s">
        <v>20</v>
      </c>
      <c r="C16" s="41"/>
      <c r="D16" s="41"/>
      <c r="E16" s="9">
        <f>SUM(E9,E11:E15)</f>
        <v>2763594.3039620067</v>
      </c>
      <c r="F16" s="43" t="s">
        <v>3</v>
      </c>
      <c r="G16" s="1"/>
    </row>
    <row r="17" spans="1:7" ht="15" customHeight="1" x14ac:dyDescent="0.45">
      <c r="A17" s="1"/>
      <c r="B17" s="42" t="s">
        <v>12</v>
      </c>
      <c r="C17" s="42"/>
      <c r="D17" s="42"/>
      <c r="E17" s="42"/>
      <c r="F17" s="42"/>
      <c r="G17" s="1"/>
    </row>
    <row r="18" spans="1:7" ht="15" customHeight="1" x14ac:dyDescent="0.45">
      <c r="A18" s="1"/>
      <c r="B18" s="43" t="s">
        <v>12</v>
      </c>
      <c r="C18" s="43"/>
      <c r="D18" s="43"/>
      <c r="E18" s="9">
        <f>'Fane 4. Ikke-påvirkelige omk.'!C15</f>
        <v>1696019.5629540903</v>
      </c>
      <c r="F18" s="43" t="s">
        <v>3</v>
      </c>
      <c r="G18" s="1"/>
    </row>
    <row r="19" spans="1:7" ht="15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" customHeight="1" x14ac:dyDescent="0.45">
      <c r="A20" s="1"/>
      <c r="B20" s="29" t="s">
        <v>39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45">
      <c r="A21" s="1"/>
      <c r="B21" s="29" t="s">
        <v>40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45">
      <c r="A22" s="1"/>
      <c r="B22" s="53" t="s">
        <v>43</v>
      </c>
      <c r="C22" s="41"/>
      <c r="D22" s="41"/>
      <c r="E22" s="9">
        <f>SUM(E20:E21)</f>
        <v>0</v>
      </c>
      <c r="F22" s="43" t="s">
        <v>3</v>
      </c>
      <c r="G22" s="1"/>
    </row>
    <row r="23" spans="1:7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540362.8794847175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f>'Fane 5. Kontrol af ØR2020'!E29</f>
        <v>0</v>
      </c>
      <c r="F25" s="43" t="s">
        <v>3</v>
      </c>
      <c r="G25" s="1"/>
    </row>
    <row r="26" spans="1:7" x14ac:dyDescent="0.45">
      <c r="A26" s="1"/>
      <c r="B26" s="42" t="s">
        <v>150</v>
      </c>
      <c r="C26" s="42"/>
      <c r="D26" s="42"/>
      <c r="E26" s="42"/>
      <c r="F26" s="42"/>
      <c r="G26" s="1"/>
    </row>
    <row r="27" spans="1:7" x14ac:dyDescent="0.45">
      <c r="A27" s="1"/>
      <c r="B27" s="43" t="s">
        <v>151</v>
      </c>
      <c r="C27" s="43"/>
      <c r="D27" s="43"/>
      <c r="E27" s="9">
        <v>0</v>
      </c>
      <c r="F27" s="43" t="s">
        <v>3</v>
      </c>
      <c r="G27" s="1"/>
    </row>
    <row r="28" spans="1:7" x14ac:dyDescent="0.45">
      <c r="A28" s="1"/>
      <c r="B28" s="42" t="s">
        <v>26</v>
      </c>
      <c r="C28" s="42"/>
      <c r="D28" s="42"/>
      <c r="E28" s="10">
        <f>SUM(E16,E18,E22,E24,E25,E27)</f>
        <v>4999976.7464008145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HMwEjExVfufm5BLoeqDCS6idu2BYnTdu6wX6Ug6rmfmb988Gld5sL9ZZ27lKMbTmimR2dhnF+LDQfDj1Uq1PlA==" saltValue="6cZyaFiiQGPkTV21tkRR7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99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101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45">
      <c r="A9" s="1"/>
      <c r="B9" s="39" t="s">
        <v>66</v>
      </c>
      <c r="C9" s="39"/>
      <c r="D9" s="39"/>
      <c r="E9" s="7">
        <f>'Fane 2.1. Økonomisk ramme 2022'!E16</f>
        <v>2763594.3039620067</v>
      </c>
      <c r="F9" s="39" t="s">
        <v>3</v>
      </c>
      <c r="G9" s="1"/>
    </row>
    <row r="10" spans="1:7" ht="15" customHeight="1" x14ac:dyDescent="0.45">
      <c r="A10" s="1"/>
      <c r="B10" s="29" t="s">
        <v>62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45">
      <c r="A11" s="1"/>
      <c r="B11" s="40" t="s">
        <v>18</v>
      </c>
      <c r="C11" s="39"/>
      <c r="D11" s="39"/>
      <c r="E11" s="8">
        <f>SUM(E9:E10)*'Fane 10. Nøgletal'!C14</f>
        <v>9119.8612030746226</v>
      </c>
      <c r="F11" s="39" t="s">
        <v>3</v>
      </c>
      <c r="G11" s="1"/>
    </row>
    <row r="12" spans="1:7" ht="15" customHeight="1" x14ac:dyDescent="0.45">
      <c r="A12" s="1"/>
      <c r="B12" s="40" t="s">
        <v>54</v>
      </c>
      <c r="C12" s="39"/>
      <c r="D12" s="39"/>
      <c r="E12" s="8">
        <f>-SUM(E9:E11)*'Fane 10. Nøgletal'!C19</f>
        <v>-47136.140807806383</v>
      </c>
      <c r="F12" s="39" t="s">
        <v>3</v>
      </c>
      <c r="G12" s="1"/>
    </row>
    <row r="13" spans="1:7" ht="15" customHeight="1" x14ac:dyDescent="0.45">
      <c r="A13" s="1"/>
      <c r="B13" s="41" t="s">
        <v>20</v>
      </c>
      <c r="C13" s="41"/>
      <c r="D13" s="41"/>
      <c r="E13" s="9">
        <f>SUM(E9:E12)</f>
        <v>2725578.0243572746</v>
      </c>
      <c r="F13" s="43" t="s">
        <v>3</v>
      </c>
      <c r="G13" s="1"/>
    </row>
    <row r="14" spans="1:7" x14ac:dyDescent="0.4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45">
      <c r="A15" s="1"/>
      <c r="B15" s="43" t="s">
        <v>12</v>
      </c>
      <c r="C15" s="43"/>
      <c r="D15" s="43"/>
      <c r="E15" s="9">
        <f>'Fane 4. Ikke-påvirkelige omk.'!C15*(1+'Fane 10. Nøgletal'!C14)</f>
        <v>1701616.427511839</v>
      </c>
      <c r="F15" s="43" t="s">
        <v>3</v>
      </c>
      <c r="G15" s="1"/>
    </row>
    <row r="16" spans="1:7" ht="15" customHeight="1" x14ac:dyDescent="0.45">
      <c r="A16" s="1"/>
      <c r="B16" s="42" t="s">
        <v>42</v>
      </c>
      <c r="C16" s="42"/>
      <c r="D16" s="42"/>
      <c r="E16" s="42"/>
      <c r="F16" s="42"/>
      <c r="G16" s="1"/>
    </row>
    <row r="17" spans="1:7" ht="15" customHeight="1" x14ac:dyDescent="0.45">
      <c r="A17" s="1"/>
      <c r="B17" s="29" t="s">
        <v>39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45">
      <c r="A18" s="1"/>
      <c r="B18" s="29" t="s">
        <v>40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45">
      <c r="A19" s="1"/>
      <c r="B19" s="53" t="s">
        <v>43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45">
      <c r="A20" s="1"/>
      <c r="B20" s="42" t="s">
        <v>85</v>
      </c>
      <c r="C20" s="42"/>
      <c r="D20" s="42"/>
      <c r="E20" s="42"/>
      <c r="F20" s="42"/>
      <c r="G20" s="1"/>
    </row>
    <row r="21" spans="1:7" x14ac:dyDescent="0.45">
      <c r="A21" s="1"/>
      <c r="B21" s="43" t="s">
        <v>152</v>
      </c>
      <c r="C21" s="43"/>
      <c r="D21" s="43"/>
      <c r="E21" s="9">
        <f>'Fane 5. Kontrol af ØR2020'!E35</f>
        <v>0</v>
      </c>
      <c r="F21" s="43" t="s">
        <v>3</v>
      </c>
      <c r="G21" s="1"/>
    </row>
    <row r="22" spans="1:7" x14ac:dyDescent="0.45">
      <c r="A22" s="1"/>
      <c r="B22" s="42" t="s">
        <v>47</v>
      </c>
      <c r="C22" s="42"/>
      <c r="D22" s="42"/>
      <c r="E22" s="10">
        <f>SUM(E13,E15,E19,E21)</f>
        <v>4427194.4518691134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FN1CKZxqoe5FMCrayFl8BUSwjaotSC1h4GCMqnsrF885Yxh6Urpo9ENhk7Gx32hKkqZ9m2HCHK7VkwnHecNK1g==" saltValue="E7j0aqx9xm6gMoL67koKxw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100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67</v>
      </c>
      <c r="C8" s="39"/>
      <c r="D8" s="39"/>
      <c r="E8" s="7">
        <f>'Fane 2.2. Økonomisk ramme 2023'!E13</f>
        <v>2725578.0243572746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8994.4074803790063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-46487.73134124012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2688084.7004964137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omk.'!C15*(1+'Fane 10. Nøgletal'!C14)^2</f>
        <v>1707231.761722628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68</v>
      </c>
      <c r="C21" s="42"/>
      <c r="D21" s="42"/>
      <c r="E21" s="10">
        <f>SUM(E12,E14,E18,E20)</f>
        <v>4395316.4622190418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JZjBr+0tiv7SGu2Us7KLhMNNU1KcXOnUBaf2PVleEv50NcCuzm/Zo4gV4DL0sw4okpJb8laQZUUljCgczOR4KA==" saltValue="gtAvJiOpcIMm61Tqah7jS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4" t="s">
        <v>102</v>
      </c>
      <c r="C3" s="74"/>
      <c r="D3" s="74"/>
      <c r="E3" s="74"/>
      <c r="F3" s="74"/>
      <c r="G3" s="1"/>
    </row>
    <row r="4" spans="1:7" ht="15" customHeight="1" x14ac:dyDescent="0.45">
      <c r="A4" s="1"/>
      <c r="B4" s="74"/>
      <c r="C4" s="74"/>
      <c r="D4" s="74"/>
      <c r="E4" s="74"/>
      <c r="F4" s="74"/>
      <c r="G4" s="1"/>
    </row>
    <row r="5" spans="1:7" x14ac:dyDescent="0.45">
      <c r="A5" s="1"/>
      <c r="B5" s="75" t="s">
        <v>21</v>
      </c>
      <c r="C5" s="75"/>
      <c r="D5" s="75"/>
      <c r="E5" s="75"/>
      <c r="F5" s="75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45">
      <c r="A8" s="1"/>
      <c r="B8" s="39" t="s">
        <v>103</v>
      </c>
      <c r="C8" s="39"/>
      <c r="D8" s="39"/>
      <c r="E8" s="7">
        <f>'Fane 2.3. Økonomisk ramme 2024'!E12</f>
        <v>2688084.7004964137</v>
      </c>
      <c r="F8" s="39" t="s">
        <v>3</v>
      </c>
      <c r="G8" s="1"/>
    </row>
    <row r="9" spans="1:7" ht="15" customHeight="1" x14ac:dyDescent="0.45">
      <c r="A9" s="1"/>
      <c r="B9" s="39" t="s">
        <v>62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45">
      <c r="A10" s="1"/>
      <c r="B10" s="40" t="s">
        <v>18</v>
      </c>
      <c r="C10" s="39"/>
      <c r="D10" s="39"/>
      <c r="E10" s="8">
        <f>SUM(E8:E9)*'Fane 10. Nøgletal'!C14</f>
        <v>8870.6795116381654</v>
      </c>
      <c r="F10" s="39" t="s">
        <v>3</v>
      </c>
      <c r="G10" s="1"/>
    </row>
    <row r="11" spans="1:7" ht="15" customHeight="1" x14ac:dyDescent="0.45">
      <c r="A11" s="1"/>
      <c r="B11" s="40" t="s">
        <v>54</v>
      </c>
      <c r="C11" s="39"/>
      <c r="D11" s="39"/>
      <c r="E11" s="8">
        <f>-SUM(E8:E10)*'Fane 10. Nøgletal'!C19</f>
        <v>-45848.241460136887</v>
      </c>
      <c r="F11" s="39" t="s">
        <v>3</v>
      </c>
      <c r="G11" s="1"/>
    </row>
    <row r="12" spans="1:7" x14ac:dyDescent="0.45">
      <c r="A12" s="1"/>
      <c r="B12" s="41" t="s">
        <v>20</v>
      </c>
      <c r="C12" s="41"/>
      <c r="D12" s="41"/>
      <c r="E12" s="9">
        <f>SUM(E8:E11)</f>
        <v>2651107.138547915</v>
      </c>
      <c r="F12" s="43" t="s">
        <v>3</v>
      </c>
      <c r="G12" s="1"/>
    </row>
    <row r="13" spans="1:7" x14ac:dyDescent="0.4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45">
      <c r="A14" s="1"/>
      <c r="B14" s="43" t="s">
        <v>12</v>
      </c>
      <c r="C14" s="43"/>
      <c r="D14" s="43"/>
      <c r="E14" s="9">
        <f>'Fane 4. Ikke-påvirkelige omk.'!C15*(1+'Fane 10. Nøgletal'!C14)^3</f>
        <v>1712865.626536313</v>
      </c>
      <c r="F14" s="43" t="s">
        <v>3</v>
      </c>
      <c r="G14" s="1"/>
    </row>
    <row r="15" spans="1:7" ht="15" customHeight="1" x14ac:dyDescent="0.45">
      <c r="A15" s="1"/>
      <c r="B15" s="42" t="s">
        <v>42</v>
      </c>
      <c r="C15" s="42"/>
      <c r="D15" s="42"/>
      <c r="E15" s="42"/>
      <c r="F15" s="42"/>
      <c r="G15" s="1"/>
    </row>
    <row r="16" spans="1:7" ht="15" customHeight="1" x14ac:dyDescent="0.45">
      <c r="A16" s="1"/>
      <c r="B16" s="29" t="s">
        <v>39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45">
      <c r="A17" s="1"/>
      <c r="B17" s="29" t="s">
        <v>40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45">
      <c r="A18" s="1"/>
      <c r="B18" s="53" t="s">
        <v>43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45">
      <c r="A19" s="1"/>
      <c r="B19" s="42" t="s">
        <v>85</v>
      </c>
      <c r="C19" s="42"/>
      <c r="D19" s="42"/>
      <c r="E19" s="42"/>
      <c r="F19" s="42"/>
      <c r="G19" s="1"/>
    </row>
    <row r="20" spans="1:7" ht="15" customHeight="1" x14ac:dyDescent="0.45">
      <c r="A20" s="1"/>
      <c r="B20" s="43" t="s">
        <v>86</v>
      </c>
      <c r="C20" s="43"/>
      <c r="D20" s="43"/>
      <c r="E20" s="9">
        <f>'Fane 5. Kontrol af ØR2020'!E35</f>
        <v>0</v>
      </c>
      <c r="F20" s="43" t="s">
        <v>3</v>
      </c>
      <c r="G20" s="1"/>
    </row>
    <row r="21" spans="1:7" x14ac:dyDescent="0.45">
      <c r="A21" s="1"/>
      <c r="B21" s="42" t="s">
        <v>104</v>
      </c>
      <c r="C21" s="42"/>
      <c r="D21" s="42"/>
      <c r="E21" s="10">
        <f>SUM(E12,E14,E18,E20)</f>
        <v>4363972.7650842275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XJANqbPAAulWmET+IOrhdgamR0BeiXlnH8pz673DzLLwZujTHKMNb9H0VUzPb71P8dA1+8Ft1WDM3hQPOJ08gw==" saltValue="VQ3Pk4CcZ1hmEoSlFXsZe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6" t="s">
        <v>105</v>
      </c>
      <c r="C3" s="76"/>
      <c r="D3" s="76"/>
      <c r="E3" s="76"/>
      <c r="F3" s="76"/>
      <c r="G3" s="1"/>
    </row>
    <row r="4" spans="1:7" ht="29.25" customHeight="1" x14ac:dyDescent="0.45">
      <c r="A4" s="1"/>
      <c r="B4" s="76"/>
      <c r="C4" s="76"/>
      <c r="D4" s="76"/>
      <c r="E4" s="76"/>
      <c r="F4" s="7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2" t="s">
        <v>126</v>
      </c>
      <c r="C8" s="42"/>
      <c r="D8" s="42"/>
      <c r="E8" s="42"/>
      <c r="F8" s="42"/>
      <c r="G8" s="1"/>
    </row>
    <row r="9" spans="1:7" x14ac:dyDescent="0.45">
      <c r="A9" s="1"/>
      <c r="B9" s="77" t="s">
        <v>23</v>
      </c>
      <c r="C9" s="77"/>
      <c r="D9" s="77"/>
      <c r="E9" s="7">
        <v>2798792.717431908</v>
      </c>
      <c r="F9" s="39" t="s">
        <v>3</v>
      </c>
      <c r="G9" s="1"/>
    </row>
    <row r="10" spans="1:7" x14ac:dyDescent="0.45">
      <c r="A10" s="1"/>
      <c r="B10" s="78" t="s">
        <v>128</v>
      </c>
      <c r="C10" s="78"/>
      <c r="D10" s="78"/>
      <c r="E10" s="7">
        <v>-13096.297515987484</v>
      </c>
      <c r="F10" s="39" t="s">
        <v>3</v>
      </c>
      <c r="G10" s="1"/>
    </row>
    <row r="11" spans="1:7" x14ac:dyDescent="0.45">
      <c r="A11" s="1"/>
      <c r="B11" s="78" t="s">
        <v>60</v>
      </c>
      <c r="C11" s="78"/>
      <c r="D11" s="78"/>
      <c r="E11" s="7">
        <v>0</v>
      </c>
      <c r="F11" s="39" t="s">
        <v>3</v>
      </c>
      <c r="G11" s="1"/>
    </row>
    <row r="12" spans="1:7" x14ac:dyDescent="0.45">
      <c r="A12" s="1"/>
      <c r="B12" s="78" t="s">
        <v>65</v>
      </c>
      <c r="C12" s="78"/>
      <c r="D12" s="78"/>
      <c r="E12" s="7">
        <v>0</v>
      </c>
      <c r="F12" s="39" t="s">
        <v>3</v>
      </c>
      <c r="G12" s="1"/>
    </row>
    <row r="13" spans="1:7" x14ac:dyDescent="0.45">
      <c r="A13" s="1"/>
      <c r="B13" s="78" t="s">
        <v>61</v>
      </c>
      <c r="C13" s="78"/>
      <c r="D13" s="78"/>
      <c r="E13" s="8">
        <v>0</v>
      </c>
      <c r="F13" s="39" t="s">
        <v>3</v>
      </c>
      <c r="G13" s="1"/>
    </row>
    <row r="14" spans="1:7" x14ac:dyDescent="0.45">
      <c r="A14" s="1"/>
      <c r="B14" s="78" t="s">
        <v>18</v>
      </c>
      <c r="C14" s="78"/>
      <c r="D14" s="78"/>
      <c r="E14" s="8">
        <f>SUM(E9:E13)*'Fane 10. Nøgletal'!C13</f>
        <v>33985.496322974235</v>
      </c>
      <c r="F14" s="39" t="s">
        <v>3</v>
      </c>
      <c r="G14" s="1"/>
    </row>
    <row r="15" spans="1:7" x14ac:dyDescent="0.45">
      <c r="A15" s="1"/>
      <c r="B15" s="78" t="s">
        <v>54</v>
      </c>
      <c r="C15" s="78"/>
      <c r="D15" s="78"/>
      <c r="E15" s="8">
        <f>-SUM(E9:E14)*'Fane 10. Nøgletal'!C19</f>
        <v>-47934.592576061215</v>
      </c>
      <c r="F15" s="39" t="s">
        <v>3</v>
      </c>
      <c r="G15" s="1"/>
    </row>
    <row r="16" spans="1:7" x14ac:dyDescent="0.45">
      <c r="A16" s="1"/>
      <c r="B16" s="80" t="s">
        <v>20</v>
      </c>
      <c r="C16" s="80"/>
      <c r="D16" s="80"/>
      <c r="E16" s="9">
        <f>SUM(E9:E15)</f>
        <v>2771747.3236628333</v>
      </c>
      <c r="F16" s="43" t="s">
        <v>3</v>
      </c>
      <c r="G16" s="1"/>
    </row>
    <row r="17" spans="1:7" x14ac:dyDescent="0.45">
      <c r="A17" s="1"/>
      <c r="B17" s="81" t="s">
        <v>12</v>
      </c>
      <c r="C17" s="81"/>
      <c r="D17" s="81"/>
      <c r="E17" s="42"/>
      <c r="F17" s="42"/>
      <c r="G17" s="1"/>
    </row>
    <row r="18" spans="1:7" x14ac:dyDescent="0.45">
      <c r="A18" s="1"/>
      <c r="B18" s="82" t="s">
        <v>12</v>
      </c>
      <c r="C18" s="82"/>
      <c r="D18" s="82"/>
      <c r="E18" s="9">
        <v>1968407.28700812</v>
      </c>
      <c r="F18" s="43" t="s">
        <v>3</v>
      </c>
      <c r="G18" s="1"/>
    </row>
    <row r="19" spans="1:7" ht="15.4" customHeight="1" x14ac:dyDescent="0.45">
      <c r="A19" s="1"/>
      <c r="B19" s="42" t="s">
        <v>42</v>
      </c>
      <c r="C19" s="42"/>
      <c r="D19" s="42"/>
      <c r="E19" s="42"/>
      <c r="F19" s="42"/>
      <c r="G19" s="1"/>
    </row>
    <row r="20" spans="1:7" ht="15.75" customHeight="1" x14ac:dyDescent="0.45">
      <c r="A20" s="1"/>
      <c r="B20" s="83" t="s">
        <v>39</v>
      </c>
      <c r="C20" s="84"/>
      <c r="D20" s="85"/>
      <c r="E20" s="58">
        <v>0</v>
      </c>
      <c r="F20" s="32" t="s">
        <v>3</v>
      </c>
      <c r="G20" s="1"/>
    </row>
    <row r="21" spans="1:7" x14ac:dyDescent="0.45">
      <c r="A21" s="1"/>
      <c r="B21" s="83" t="s">
        <v>40</v>
      </c>
      <c r="C21" s="84"/>
      <c r="D21" s="85"/>
      <c r="E21" s="58">
        <v>0</v>
      </c>
      <c r="F21" s="32" t="s">
        <v>3</v>
      </c>
      <c r="G21" s="1"/>
    </row>
    <row r="22" spans="1:7" x14ac:dyDescent="0.45">
      <c r="A22" s="1"/>
      <c r="B22" s="86" t="s">
        <v>43</v>
      </c>
      <c r="C22" s="87"/>
      <c r="D22" s="88"/>
      <c r="E22" s="9">
        <v>0</v>
      </c>
      <c r="F22" s="9" t="s">
        <v>3</v>
      </c>
      <c r="G22" s="1"/>
    </row>
    <row r="23" spans="1:7" ht="15.75" customHeight="1" x14ac:dyDescent="0.45">
      <c r="A23" s="1"/>
      <c r="B23" s="42" t="s">
        <v>85</v>
      </c>
      <c r="C23" s="42"/>
      <c r="D23" s="42"/>
      <c r="E23" s="42"/>
      <c r="F23" s="42"/>
      <c r="G23" s="1"/>
    </row>
    <row r="24" spans="1:7" x14ac:dyDescent="0.45">
      <c r="A24" s="1"/>
      <c r="B24" s="53" t="s">
        <v>31</v>
      </c>
      <c r="C24" s="41"/>
      <c r="D24" s="41"/>
      <c r="E24" s="9">
        <v>540362.8794847175</v>
      </c>
      <c r="F24" s="43" t="s">
        <v>3</v>
      </c>
      <c r="G24" s="1"/>
    </row>
    <row r="25" spans="1:7" x14ac:dyDescent="0.45">
      <c r="A25" s="1"/>
      <c r="B25" s="53" t="s">
        <v>86</v>
      </c>
      <c r="C25" s="41"/>
      <c r="D25" s="41"/>
      <c r="E25" s="9">
        <v>0</v>
      </c>
      <c r="F25" s="43" t="s">
        <v>3</v>
      </c>
      <c r="G25" s="1"/>
    </row>
    <row r="26" spans="1:7" ht="15" customHeight="1" x14ac:dyDescent="0.45">
      <c r="A26" s="1"/>
      <c r="B26" s="42" t="s">
        <v>25</v>
      </c>
      <c r="C26" s="42"/>
      <c r="D26" s="42"/>
      <c r="E26" s="10">
        <f>E16+E18+E22+E24+E25</f>
        <v>5280517.4901556708</v>
      </c>
      <c r="F26" s="11" t="s">
        <v>3</v>
      </c>
      <c r="G26" s="1"/>
    </row>
    <row r="27" spans="1:7" ht="27" customHeight="1" x14ac:dyDescent="0.45">
      <c r="A27" s="1"/>
      <c r="B27" s="79" t="s">
        <v>120</v>
      </c>
      <c r="C27" s="79"/>
      <c r="D27" s="79"/>
      <c r="E27" s="79"/>
      <c r="F27" s="79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KMJQFGlE0T9S8eKr9SnV2OGlwo1KHOWBIkmRJUSczkOd8ifcfZ3ldw5yU2vIwyEBnNBlpe+Mg0E34PVULCBFnQ==" saltValue="YWBrRhzLcGJmdQiUd5h5vQ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27:F27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1:D11"/>
    <mergeCell ref="B13:D13"/>
    <mergeCell ref="B14:D14"/>
    <mergeCell ref="B10:D10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4" t="s">
        <v>53</v>
      </c>
      <c r="C3" s="74"/>
      <c r="D3" s="74"/>
      <c r="E3" s="1"/>
      <c r="F3" s="1"/>
    </row>
    <row r="4" spans="1:6" ht="15" customHeight="1" x14ac:dyDescent="0.45">
      <c r="A4" s="1"/>
      <c r="B4" s="74"/>
      <c r="C4" s="74"/>
      <c r="D4" s="74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9" t="s">
        <v>107</v>
      </c>
      <c r="C8" s="90"/>
      <c r="D8" s="91"/>
      <c r="E8" s="1"/>
      <c r="F8" s="1"/>
    </row>
    <row r="9" spans="1:6" ht="15" customHeight="1" x14ac:dyDescent="0.45">
      <c r="A9" s="1"/>
      <c r="B9" s="17" t="s">
        <v>29</v>
      </c>
      <c r="C9" s="43" t="s">
        <v>106</v>
      </c>
      <c r="D9" s="43"/>
      <c r="E9" s="1"/>
      <c r="F9" s="1"/>
    </row>
    <row r="10" spans="1:6" ht="15" customHeight="1" x14ac:dyDescent="0.45">
      <c r="A10" s="1"/>
      <c r="B10" s="28" t="s">
        <v>132</v>
      </c>
      <c r="C10" s="8">
        <v>1157306</v>
      </c>
      <c r="D10" s="12" t="s">
        <v>3</v>
      </c>
      <c r="E10" s="1"/>
      <c r="F10" s="1"/>
    </row>
    <row r="11" spans="1:6" x14ac:dyDescent="0.45">
      <c r="A11" s="1"/>
      <c r="B11" s="28" t="s">
        <v>133</v>
      </c>
      <c r="C11" s="8">
        <v>4885</v>
      </c>
      <c r="D11" s="12" t="s">
        <v>3</v>
      </c>
      <c r="E11" s="1"/>
      <c r="F11" s="1"/>
    </row>
    <row r="12" spans="1:6" x14ac:dyDescent="0.45">
      <c r="A12" s="1"/>
      <c r="B12" s="28" t="s">
        <v>134</v>
      </c>
      <c r="C12" s="8">
        <v>518455</v>
      </c>
      <c r="D12" s="12" t="s">
        <v>3</v>
      </c>
      <c r="E12" s="1"/>
      <c r="F12" s="1"/>
    </row>
    <row r="13" spans="1:6" x14ac:dyDescent="0.45">
      <c r="A13" s="1"/>
      <c r="B13" s="28" t="s">
        <v>135</v>
      </c>
      <c r="C13" s="8">
        <v>4235</v>
      </c>
      <c r="D13" s="12" t="s">
        <v>3</v>
      </c>
      <c r="E13" s="1"/>
      <c r="F13" s="1"/>
    </row>
    <row r="14" spans="1:6" x14ac:dyDescent="0.45">
      <c r="A14" s="1"/>
      <c r="B14" s="56" t="s">
        <v>108</v>
      </c>
      <c r="C14" s="10">
        <f>SUM(C10:C13)</f>
        <v>1684881</v>
      </c>
      <c r="D14" s="11" t="s">
        <v>3</v>
      </c>
      <c r="E14" s="1"/>
      <c r="F14" s="1"/>
    </row>
    <row r="15" spans="1:6" x14ac:dyDescent="0.45">
      <c r="A15" s="1"/>
      <c r="B15" s="56" t="s">
        <v>109</v>
      </c>
      <c r="C15" s="10">
        <f>C14*(1+'Fane 10. Nøgletal'!C14)^2</f>
        <v>1696019.5629540903</v>
      </c>
      <c r="D15" s="11" t="s">
        <v>3</v>
      </c>
      <c r="E15" s="1"/>
      <c r="F15" s="1"/>
    </row>
    <row r="16" spans="1:6" x14ac:dyDescent="0.45">
      <c r="A16" s="1"/>
      <c r="B16" s="14"/>
      <c r="C16" s="13"/>
      <c r="D16" s="13"/>
      <c r="E16" s="1"/>
      <c r="F16" s="1"/>
    </row>
    <row r="17" spans="1:6" x14ac:dyDescent="0.45">
      <c r="A17" s="1"/>
      <c r="B17" s="14"/>
      <c r="C17" s="13"/>
      <c r="D17" s="13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un9esLNIJIgq8VydafigydtS8jm4QzqgZ9mQuo/6DrDpFb28777jH978Jh24ciOO4UY9hidnDM1cO3TEnouYGw==" saltValue="MHXUTsrZwlddoORiHLJ9oA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76" t="s">
        <v>154</v>
      </c>
      <c r="C3" s="76"/>
      <c r="D3" s="76"/>
      <c r="E3" s="76"/>
      <c r="F3" s="76"/>
      <c r="G3" s="1"/>
    </row>
    <row r="4" spans="1:7" ht="15" customHeight="1" x14ac:dyDescent="0.45">
      <c r="A4" s="1"/>
      <c r="B4" s="76"/>
      <c r="C4" s="76"/>
      <c r="D4" s="76"/>
      <c r="E4" s="76"/>
      <c r="F4" s="76"/>
      <c r="G4" s="1"/>
    </row>
    <row r="5" spans="1:7" ht="15" customHeight="1" x14ac:dyDescent="0.45">
      <c r="A5" s="1"/>
      <c r="B5" s="38"/>
      <c r="C5" s="38"/>
      <c r="D5" s="38"/>
      <c r="E5" s="38"/>
      <c r="F5" s="38"/>
      <c r="G5" s="1"/>
    </row>
    <row r="6" spans="1:7" ht="15" customHeight="1" x14ac:dyDescent="0.45">
      <c r="A6" s="1"/>
      <c r="B6" s="38"/>
      <c r="C6" s="38"/>
      <c r="D6" s="38"/>
      <c r="E6" s="38"/>
      <c r="F6" s="3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9" t="s">
        <v>137</v>
      </c>
      <c r="C8" s="90"/>
      <c r="D8" s="90"/>
      <c r="E8" s="90"/>
      <c r="F8" s="91"/>
      <c r="G8" s="1"/>
    </row>
    <row r="9" spans="1:7" x14ac:dyDescent="0.45">
      <c r="A9" s="1"/>
      <c r="B9" s="92" t="s">
        <v>138</v>
      </c>
      <c r="C9" s="93"/>
      <c r="D9" s="94"/>
      <c r="E9" s="8">
        <v>1636245.0041453289</v>
      </c>
      <c r="F9" s="12" t="s">
        <v>3</v>
      </c>
      <c r="G9" s="1"/>
    </row>
    <row r="10" spans="1:7" x14ac:dyDescent="0.45">
      <c r="A10" s="1"/>
      <c r="B10" s="92" t="s">
        <v>139</v>
      </c>
      <c r="C10" s="93"/>
      <c r="D10" s="94"/>
      <c r="E10" s="8">
        <v>396186.8579470925</v>
      </c>
      <c r="F10" s="12" t="s">
        <v>3</v>
      </c>
      <c r="G10" s="1"/>
    </row>
    <row r="11" spans="1:7" x14ac:dyDescent="0.45">
      <c r="A11" s="1"/>
      <c r="B11" s="92" t="s">
        <v>140</v>
      </c>
      <c r="C11" s="93"/>
      <c r="D11" s="94"/>
      <c r="E11" s="8">
        <v>-159946.24719936214</v>
      </c>
      <c r="F11" s="12" t="s">
        <v>3</v>
      </c>
      <c r="G11" s="1"/>
    </row>
    <row r="12" spans="1:7" x14ac:dyDescent="0.45">
      <c r="A12" s="1"/>
      <c r="B12" s="56"/>
      <c r="C12" s="22"/>
      <c r="D12" s="22"/>
      <c r="E12" s="22"/>
      <c r="F12" s="57"/>
      <c r="G12" s="1"/>
    </row>
    <row r="13" spans="1:7" ht="51.75" customHeight="1" x14ac:dyDescent="0.45">
      <c r="A13" s="1"/>
      <c r="B13" s="95" t="s">
        <v>141</v>
      </c>
      <c r="C13" s="96"/>
      <c r="D13" s="96"/>
      <c r="E13" s="96"/>
      <c r="F13" s="97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9" t="s">
        <v>142</v>
      </c>
      <c r="C15" s="90"/>
      <c r="D15" s="90"/>
      <c r="E15" s="90"/>
      <c r="F15" s="91"/>
      <c r="G15" s="1"/>
    </row>
    <row r="16" spans="1:7" x14ac:dyDescent="0.45">
      <c r="A16" s="1"/>
      <c r="B16" s="92" t="s">
        <v>143</v>
      </c>
      <c r="C16" s="93"/>
      <c r="D16" s="94"/>
      <c r="E16" s="8">
        <v>0</v>
      </c>
      <c r="F16" s="12" t="s">
        <v>3</v>
      </c>
      <c r="G16" s="1"/>
    </row>
    <row r="17" spans="1:7" x14ac:dyDescent="0.45">
      <c r="A17" s="1"/>
      <c r="B17" s="92" t="s">
        <v>144</v>
      </c>
      <c r="C17" s="93"/>
      <c r="D17" s="94"/>
      <c r="E17" s="8">
        <v>0</v>
      </c>
      <c r="F17" s="12" t="s">
        <v>3</v>
      </c>
      <c r="G17" s="1"/>
    </row>
    <row r="18" spans="1:7" x14ac:dyDescent="0.45">
      <c r="A18" s="1"/>
      <c r="B18" s="56"/>
      <c r="C18" s="22"/>
      <c r="D18" s="22"/>
      <c r="E18" s="22"/>
      <c r="F18" s="57"/>
      <c r="G18" s="1"/>
    </row>
    <row r="19" spans="1:7" ht="29.25" customHeight="1" x14ac:dyDescent="0.45">
      <c r="A19" s="1"/>
      <c r="B19" s="95" t="s">
        <v>145</v>
      </c>
      <c r="C19" s="96"/>
      <c r="D19" s="96"/>
      <c r="E19" s="96"/>
      <c r="F19" s="97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7" t="s">
        <v>122</v>
      </c>
      <c r="C21" s="48"/>
      <c r="D21" s="48"/>
      <c r="E21" s="48"/>
      <c r="F21" s="49"/>
      <c r="G21" s="1"/>
    </row>
    <row r="22" spans="1:7" x14ac:dyDescent="0.45">
      <c r="A22" s="1"/>
      <c r="B22" s="50" t="s">
        <v>123</v>
      </c>
      <c r="C22" s="51"/>
      <c r="D22" s="52"/>
      <c r="E22" s="8">
        <v>4908240.9232997075</v>
      </c>
      <c r="F22" s="12" t="s">
        <v>3</v>
      </c>
      <c r="G22" s="1"/>
    </row>
    <row r="23" spans="1:7" x14ac:dyDescent="0.45">
      <c r="A23" s="1"/>
      <c r="B23" s="50" t="s">
        <v>124</v>
      </c>
      <c r="C23" s="51"/>
      <c r="D23" s="52"/>
      <c r="E23" s="8">
        <v>4274333</v>
      </c>
      <c r="F23" s="12" t="s">
        <v>3</v>
      </c>
      <c r="G23" s="1"/>
    </row>
    <row r="24" spans="1:7" x14ac:dyDescent="0.45">
      <c r="A24" s="1"/>
      <c r="B24" s="50" t="s">
        <v>30</v>
      </c>
      <c r="C24" s="51"/>
      <c r="D24" s="52"/>
      <c r="E24" s="8">
        <v>0</v>
      </c>
      <c r="F24" s="12" t="s">
        <v>3</v>
      </c>
      <c r="G24" s="1"/>
    </row>
    <row r="25" spans="1:7" x14ac:dyDescent="0.45">
      <c r="A25" s="1"/>
      <c r="B25" s="44" t="s">
        <v>125</v>
      </c>
      <c r="C25" s="45"/>
      <c r="D25" s="46"/>
      <c r="E25" s="34">
        <f>E22-(E23-E24)</f>
        <v>633907.92329970747</v>
      </c>
      <c r="F25" s="15" t="s">
        <v>3</v>
      </c>
      <c r="G25" s="1"/>
    </row>
    <row r="26" spans="1:7" x14ac:dyDescent="0.45">
      <c r="A26" s="1"/>
      <c r="B26" s="56"/>
      <c r="C26" s="22"/>
      <c r="D26" s="22"/>
      <c r="E26" s="22"/>
      <c r="F26" s="57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9" t="s">
        <v>146</v>
      </c>
      <c r="C28" s="90"/>
      <c r="D28" s="90"/>
      <c r="E28" s="90"/>
      <c r="F28" s="91"/>
      <c r="G28" s="1"/>
    </row>
    <row r="29" spans="1:7" x14ac:dyDescent="0.45">
      <c r="A29" s="1"/>
      <c r="B29" s="86" t="s">
        <v>147</v>
      </c>
      <c r="C29" s="87"/>
      <c r="D29" s="88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9"/>
      <c r="C30" s="90"/>
      <c r="D30" s="90"/>
      <c r="E30" s="90"/>
      <c r="F30" s="9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9" t="s">
        <v>148</v>
      </c>
      <c r="C32" s="90"/>
      <c r="D32" s="90"/>
      <c r="E32" s="90"/>
      <c r="F32" s="91"/>
      <c r="G32" s="1"/>
    </row>
    <row r="33" spans="1:7" x14ac:dyDescent="0.45">
      <c r="A33" s="1"/>
      <c r="B33" s="102" t="s">
        <v>85</v>
      </c>
      <c r="C33" s="103"/>
      <c r="D33" s="104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102" t="s">
        <v>55</v>
      </c>
      <c r="C34" s="103"/>
      <c r="D34" s="104"/>
      <c r="E34" s="8">
        <v>4</v>
      </c>
      <c r="F34" s="12" t="s">
        <v>19</v>
      </c>
      <c r="G34" s="1"/>
    </row>
    <row r="35" spans="1:7" x14ac:dyDescent="0.45">
      <c r="A35" s="1"/>
      <c r="B35" s="101" t="s">
        <v>149</v>
      </c>
      <c r="C35" s="101"/>
      <c r="D35" s="101"/>
      <c r="E35" s="9">
        <f>E33/E34</f>
        <v>0</v>
      </c>
      <c r="F35" s="15" t="s">
        <v>3</v>
      </c>
      <c r="G35" s="1"/>
    </row>
    <row r="36" spans="1:7" x14ac:dyDescent="0.45">
      <c r="A36" s="1"/>
      <c r="B36" s="98"/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xnUC/0TYxwoaVulgL3otXA+2fLbmBBGB7akxVG/jtyOMLLHCRXhTzNnxwxvv/P/xH0XWsZr7lH7adZgqa8I4zw==" saltValue="8xKBgdcmBRpZXs8sCJF1lQ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6:F36"/>
    <mergeCell ref="B35:D35"/>
    <mergeCell ref="B34:D34"/>
    <mergeCell ref="B33:D33"/>
    <mergeCell ref="B32:F32"/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4" t="s">
        <v>88</v>
      </c>
      <c r="C3" s="74"/>
      <c r="D3" s="74"/>
      <c r="E3" s="74"/>
      <c r="F3" s="74"/>
      <c r="G3" s="74"/>
      <c r="H3" s="74"/>
      <c r="I3" s="1"/>
    </row>
    <row r="4" spans="1:9" ht="15" customHeight="1" x14ac:dyDescent="0.4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9" t="s">
        <v>79</v>
      </c>
      <c r="C8" s="90"/>
      <c r="D8" s="90"/>
      <c r="E8" s="90"/>
      <c r="F8" s="90"/>
      <c r="G8" s="90"/>
      <c r="H8" s="91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27</v>
      </c>
      <c r="H9" s="55"/>
      <c r="I9" s="1"/>
    </row>
    <row r="10" spans="1:9" x14ac:dyDescent="0.45">
      <c r="A10" s="1"/>
      <c r="B10" s="35" t="s">
        <v>153</v>
      </c>
      <c r="C10" s="36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9" t="s">
        <v>80</v>
      </c>
      <c r="C11" s="90"/>
      <c r="D11" s="91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hSPLzBBvfc8VsFLsYyPaae9MLxl8eSlM60QlsyhK/+gCbt2uN3OsCZGIv0I0rz63GtQWAQFYMOFRILWADawGDA==" saltValue="aFOZoq8EHtd6Cf2Dy26p4w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2021-08-20T08:24:37Z</dcterms:modified>
</cp:coreProperties>
</file>