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ording Vandværk a.m.b.a. (V026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1" i="3"/>
  <c r="E20" i="4"/>
  <c r="E29" i="8"/>
  <c r="E25" i="2" s="1"/>
  <c r="E10" i="2"/>
  <c r="E14" i="6"/>
  <c r="C11" i="12" l="1"/>
  <c r="C12" i="12" s="1"/>
  <c r="C13" i="7"/>
  <c r="C14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<sst xmlns="http://schemas.openxmlformats.org/spreadsheetml/2006/main" count="403" uniqueCount="153">
  <si>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</si>
  <si>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</si>
  <si>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</si>
  <si>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</si>
  <si>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</si>
  <si>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</si>
  <si>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</si>
  <si>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</si>
  <si>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</si>
  <si>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</si>
  <si>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</si>
  <si>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</si>
  <si>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</si>
  <si>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</si>
  <si>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</si>
  <si>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</si>
  <si>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</si>
  <si>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</si>
  <si>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</si>
  <si>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</si>
  <si>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</si>
  <si>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</si>
  <si>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</si>
  <si>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</si>
  <si>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</si>
  <si>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</si>
  <si>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</si>
  <si>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</si>
  <si>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</si>
  <si>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</si>
  <si>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</si>
  <si>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</si>
  <si>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</si>
  <si>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</si>
  <si>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</si>
  <si>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</si>
  <si>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</si>
  <si>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</si>
  <si>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</si>
  <si>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</si>
  <si>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</si>
  <si>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</si>
  <si>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</si>
  <si>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</si>
  <si>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</si>
  <si>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</si>
  <si>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</si>
  <si>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</si>
  <si>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</si>
  <si>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</si>
  <si>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</si>
  <si>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</si>
  <si>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</si>
  <si>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</si>
  <si>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</si>
  <si>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</si>
  <si>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</si>
  <si>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</si>
  <si>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</si>
  <si>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</si>
  <si>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</si>
  <si>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</si>
  <si>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</si>
  <si>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</si>
  <si>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</si>
  <si>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</si>
  <si>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</si>
  <si>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</si>
  <si>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</si>
  <si>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</si>
  <si>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</si>
  <si>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</si>
  <si>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</si>
  <si>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</si>
  <si>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</si>
  <si>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</si>
  <si>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</si>
  <si>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</si>
  <si>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</si>
  <si>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</si>
  <si>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</si>
  <si>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</si>
  <si>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</si>
  <si>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</si>
  <si>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</si>
  <si>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</si>
  <si>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</si>
  <si>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</si>
  <si>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</si>
  <si>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</si>
  <si>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</si>
  <si>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</si>
  <si>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</si>
  <si>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</si>
  <si>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</si>
  <si>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</si>
  <si>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</si>
  <si>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</si>
  <si>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</si>
  <si>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</si>
  <si>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</si>
  <si>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</si>
  <si>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</si>
  <si>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</si>
  <si>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</si>
  <si>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</si>
  <si>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</si>
  <si>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</si>
  <si>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</si>
  <si>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</si>
  <si>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</si>
  <si>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</si>
  <si>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</si>
  <si>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</si>
  <si>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</si>
  <si>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</si>
  <si>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</si>
  <si>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</si>
  <si>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</si>
  <si>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</si>
  <si>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</si>
  <si>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</si>
  <si>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</si>
  <si>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</si>
  <si>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</si>
  <si>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</si>
  <si>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</si>
  <si>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</si>
  <si>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</si>
  <si>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</si>
  <si>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</si>
  <si>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til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</si>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</sst>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6" fillId="7" borderId="1" xfId="0" applyFont="1" applyFill="1" applyBorder="1" applyAlignment="1" applyProtection="1"/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cn9ExFR2uS8t7t/VVayf58OchQEFPsHQD4gPTOCPZOlJ0SCGi/AVaF8UA6EU3H99XO9DNHoEyDXRNVBAxIM/Q==" saltValue="NjsLgPh7eZX1j0N/gwg04A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6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FXq+kPg2Ayjlj71yGV49RYRMklK2d/pKHRJZetXhD8/ds+eF1o8S+IHYFEuGN1A6Uv+SsoxYe0JsMHcpWHxRtg==" saltValue="WnAUA+IwkUOTg/ngwUbs2g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4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4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4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miz5cxpl4KCuW9faI2UW7sWolS7PJ3q9jbZA/EkYfn+Do6pysXLaXBeeXbNPK5hMQGRP6rpID/YxCw6IVs4r7g==" saltValue="U75PA8Y2jvRI4Rt4co5gug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6ifYjdJVfU2YPpi46fmsSfz4rdjUXEe1pK/iZJw/90P4rZIjh1seQvfs0SnEl5QuNwqtaAQTkrJXppCwxoDwXQ==" saltValue="0yTBozyg/KeeKIUtsTkTOg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45">
      <c r="A10" s="1"/>
      <c r="B10" s="20" t="s">
        <v>134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45">
      <c r="A16" s="1"/>
      <c r="B16" s="20" t="s">
        <v>134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45">
      <c r="A22" s="1"/>
      <c r="B22" s="20" t="s">
        <v>134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45">
      <c r="A28" s="1"/>
      <c r="B28" s="20" t="s">
        <v>134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69bNuGYvfR93Bu/UwONVcPUiARapiPsUfkMHRxMl09L0gHR6uD4dQteGClqqSC9Kw2xI2bwB0fAhuiTA8NS1gw==" saltValue="lHRJhDu3rxUcx5qeugRsZQ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6" t="s">
        <v>14</v>
      </c>
      <c r="C8" s="57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6"/>
      <c r="C15" s="57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6" t="s">
        <v>54</v>
      </c>
      <c r="C18" s="57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RKEkrcHEGiagmjagWsneLwhm5wWr+segO7r2wnjWbwcfyxNEkMiH8OVL8ICWnVFepWDnYz/1zBU1u2OPjgw9ag==" saltValue="H2Hum5iq0XsEiwP1US0sYg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46" t="s">
        <v>24</v>
      </c>
      <c r="C9" s="46"/>
      <c r="D9" s="46"/>
      <c r="E9" s="7">
        <f>'Fane 3. Omkostninger i ØR2021'!E16</f>
        <v>2830898.0206983592</v>
      </c>
      <c r="F9" s="46" t="s">
        <v>3</v>
      </c>
      <c r="G9" s="1"/>
    </row>
    <row r="10" spans="1:7" ht="17.100000000000001" customHeight="1" x14ac:dyDescent="0.45">
      <c r="A10" s="1"/>
      <c r="B10" s="33" t="s">
        <v>121</v>
      </c>
      <c r="C10" s="46"/>
      <c r="D10" s="46"/>
      <c r="E10" s="7">
        <f>'Fane 3. Omkostninger i ØR2021'!E13*(1-'Fane 10. Nøgletal'!C19)*(1+'Fane 10. Nøgletal'!C13)</f>
        <v>0</v>
      </c>
      <c r="F10" s="46" t="s">
        <v>3</v>
      </c>
      <c r="G10" s="1"/>
    </row>
    <row r="11" spans="1:7" ht="17.100000000000001" customHeight="1" x14ac:dyDescent="0.45">
      <c r="A11" s="1"/>
      <c r="B11" s="29" t="s">
        <v>60</v>
      </c>
      <c r="C11" s="46"/>
      <c r="D11" s="46"/>
      <c r="E11" s="7">
        <f>'Fane 7.1. Varige tillæg'!C12+'Fane 7.1. Varige tillæg'!E12</f>
        <v>0</v>
      </c>
      <c r="F11" s="46" t="s">
        <v>3</v>
      </c>
      <c r="G11" s="1"/>
    </row>
    <row r="12" spans="1:7" ht="17.100000000000001" customHeight="1" x14ac:dyDescent="0.45">
      <c r="A12" s="1"/>
      <c r="B12" s="29" t="s">
        <v>62</v>
      </c>
      <c r="C12" s="46"/>
      <c r="D12" s="46"/>
      <c r="E12" s="8">
        <f>-('Fane 9. Bortfald'!C12+'Fane 9. Bortfald'!E12)</f>
        <v>0</v>
      </c>
      <c r="F12" s="46" t="s">
        <v>3</v>
      </c>
      <c r="G12" s="1"/>
    </row>
    <row r="13" spans="1:7" ht="17.100000000000001" customHeight="1" x14ac:dyDescent="0.45">
      <c r="A13" s="1"/>
      <c r="B13" s="29" t="s">
        <v>65</v>
      </c>
      <c r="C13" s="46"/>
      <c r="D13" s="46"/>
      <c r="E13" s="8">
        <f>'Fane 8. Tilknyttet virksomhed'!C12+'Fane 8. Tilknyttet virksomhed'!E12</f>
        <v>0</v>
      </c>
      <c r="F13" s="46" t="s">
        <v>3</v>
      </c>
      <c r="G13" s="1"/>
    </row>
    <row r="14" spans="1:7" ht="17.100000000000001" customHeight="1" x14ac:dyDescent="0.45">
      <c r="A14" s="1"/>
      <c r="B14" s="29" t="s">
        <v>18</v>
      </c>
      <c r="C14" s="46"/>
      <c r="D14" s="46"/>
      <c r="E14" s="8">
        <f>E9*'Fane 10. Nøgletal'!C13+SUM(E11:E13)*'Fane 10. Nøgletal'!C14</f>
        <v>34536.955852519983</v>
      </c>
      <c r="F14" s="46" t="s">
        <v>3</v>
      </c>
      <c r="G14" s="1"/>
    </row>
    <row r="15" spans="1:7" ht="17.100000000000001" customHeight="1" x14ac:dyDescent="0.45">
      <c r="A15" s="1"/>
      <c r="B15" s="29" t="s">
        <v>54</v>
      </c>
      <c r="C15" s="46"/>
      <c r="D15" s="46"/>
      <c r="E15" s="8">
        <f>-SUM(E9,E11:E14)*'Fane 10. Nøgletal'!C19</f>
        <v>-48712.394601364955</v>
      </c>
      <c r="F15" s="46" t="s">
        <v>3</v>
      </c>
      <c r="G15" s="1"/>
    </row>
    <row r="16" spans="1:7" ht="15" customHeight="1" x14ac:dyDescent="0.45">
      <c r="A16" s="1"/>
      <c r="B16" s="50" t="s">
        <v>20</v>
      </c>
      <c r="C16" s="39"/>
      <c r="D16" s="39"/>
      <c r="E16" s="9">
        <f>SUM(E9,E11:E15)</f>
        <v>2816722.5819495143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omk.'!C14</f>
        <v>1856754.1832584003</v>
      </c>
      <c r="F18" s="41" t="s">
        <v>3</v>
      </c>
      <c r="G18" s="1"/>
    </row>
    <row r="19" spans="1:7" ht="15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9" t="s">
        <v>39</v>
      </c>
      <c r="C20" s="46"/>
      <c r="D20" s="46"/>
      <c r="E20" s="8">
        <f>'Fane 7.2. Engangstillæg'!C13</f>
        <v>0</v>
      </c>
      <c r="F20" s="46" t="s">
        <v>3</v>
      </c>
      <c r="G20" s="1"/>
    </row>
    <row r="21" spans="1:7" x14ac:dyDescent="0.45">
      <c r="A21" s="1"/>
      <c r="B21" s="29" t="s">
        <v>40</v>
      </c>
      <c r="C21" s="46"/>
      <c r="D21" s="46"/>
      <c r="E21" s="8">
        <f>'Fane 7.2. Engangstillæg'!E13</f>
        <v>0</v>
      </c>
      <c r="F21" s="46" t="s">
        <v>3</v>
      </c>
      <c r="G21" s="1"/>
    </row>
    <row r="22" spans="1:7" ht="15" customHeight="1" x14ac:dyDescent="0.45">
      <c r="A22" s="1"/>
      <c r="B22" s="50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0" t="s">
        <v>31</v>
      </c>
      <c r="C24" s="39"/>
      <c r="D24" s="39"/>
      <c r="E24" s="9">
        <v>-308839.07020489243</v>
      </c>
      <c r="F24" s="41" t="s">
        <v>3</v>
      </c>
      <c r="G24" s="1"/>
    </row>
    <row r="25" spans="1:7" x14ac:dyDescent="0.45">
      <c r="A25" s="1"/>
      <c r="B25" s="50" t="s">
        <v>86</v>
      </c>
      <c r="C25" s="39"/>
      <c r="D25" s="39"/>
      <c r="E25" s="9">
        <f>'Fane 5. Kontrol af ØR2020'!E29</f>
        <v>0</v>
      </c>
      <c r="F25" s="41" t="s">
        <v>3</v>
      </c>
      <c r="G25" s="1"/>
    </row>
    <row r="26" spans="1:7" x14ac:dyDescent="0.45">
      <c r="A26" s="1"/>
      <c r="B26" s="40" t="s">
        <v>148</v>
      </c>
      <c r="C26" s="40"/>
      <c r="D26" s="40"/>
      <c r="E26" s="40"/>
      <c r="F26" s="40"/>
      <c r="G26" s="1"/>
    </row>
    <row r="27" spans="1:7" x14ac:dyDescent="0.45">
      <c r="A27" s="1"/>
      <c r="B27" s="41" t="s">
        <v>149</v>
      </c>
      <c r="C27" s="41"/>
      <c r="D27" s="41"/>
      <c r="E27" s="9">
        <v>0</v>
      </c>
      <c r="F27" s="41" t="s">
        <v>3</v>
      </c>
      <c r="G27" s="1"/>
    </row>
    <row r="28" spans="1:7" x14ac:dyDescent="0.45">
      <c r="A28" s="1"/>
      <c r="B28" s="40" t="s">
        <v>26</v>
      </c>
      <c r="C28" s="40"/>
      <c r="D28" s="40"/>
      <c r="E28" s="10">
        <f>SUM(E16,E18,E22,E24,E25,E27)</f>
        <v>4364637.6950030224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IiVO2knCqYQuHSOQCPHINUF+kTGTLdy5Im19qdoR5cxSNBL59iyn4c5qhAoTuaq+fuQEmDKVo1a389CmTws5qA==" saltValue="TZH/hJEApfH8Gs3YZirXDw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46" t="s">
        <v>66</v>
      </c>
      <c r="C9" s="46"/>
      <c r="D9" s="46"/>
      <c r="E9" s="7">
        <f>'Fane 2.1. Økonomisk ramme 2022'!E16</f>
        <v>2816722.5819495143</v>
      </c>
      <c r="F9" s="46" t="s">
        <v>3</v>
      </c>
      <c r="G9" s="1"/>
    </row>
    <row r="10" spans="1:7" ht="15" customHeight="1" x14ac:dyDescent="0.45">
      <c r="A10" s="1"/>
      <c r="B10" s="29" t="s">
        <v>62</v>
      </c>
      <c r="C10" s="46"/>
      <c r="D10" s="46"/>
      <c r="E10" s="7">
        <f>-('Fane 9. Bortfald'!C18+'Fane 9. Bortfald'!E18)</f>
        <v>0</v>
      </c>
      <c r="F10" s="46" t="s">
        <v>3</v>
      </c>
      <c r="G10" s="1"/>
    </row>
    <row r="11" spans="1:7" ht="15" customHeight="1" x14ac:dyDescent="0.45">
      <c r="A11" s="1"/>
      <c r="B11" s="38" t="s">
        <v>18</v>
      </c>
      <c r="C11" s="46"/>
      <c r="D11" s="46"/>
      <c r="E11" s="8">
        <f>SUM(E9:E10)*'Fane 10. Nøgletal'!C14</f>
        <v>9295.1845204333968</v>
      </c>
      <c r="F11" s="46" t="s">
        <v>3</v>
      </c>
      <c r="G11" s="1"/>
    </row>
    <row r="12" spans="1:7" ht="15" customHeight="1" x14ac:dyDescent="0.45">
      <c r="A12" s="1"/>
      <c r="B12" s="38" t="s">
        <v>54</v>
      </c>
      <c r="C12" s="46"/>
      <c r="D12" s="46"/>
      <c r="E12" s="8">
        <f>-SUM(E9:E11)*'Fane 10. Nøgletal'!C19</f>
        <v>-48042.302029989114</v>
      </c>
      <c r="F12" s="46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2777975.4644399583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omk.'!C14*(1+'Fane 10. Nøgletal'!C14)</f>
        <v>1862881.4720631533</v>
      </c>
      <c r="F15" s="41" t="s">
        <v>3</v>
      </c>
      <c r="G15" s="1"/>
    </row>
    <row r="16" spans="1:7" ht="15" customHeight="1" x14ac:dyDescent="0.4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9" t="s">
        <v>39</v>
      </c>
      <c r="C17" s="46"/>
      <c r="D17" s="46"/>
      <c r="E17" s="8">
        <f>'Fane 7.2. Engangstillæg'!C20</f>
        <v>0</v>
      </c>
      <c r="F17" s="46" t="s">
        <v>3</v>
      </c>
      <c r="G17" s="1"/>
    </row>
    <row r="18" spans="1:7" ht="15" customHeight="1" x14ac:dyDescent="0.45">
      <c r="A18" s="1"/>
      <c r="B18" s="29" t="s">
        <v>40</v>
      </c>
      <c r="C18" s="46"/>
      <c r="D18" s="46"/>
      <c r="E18" s="8">
        <f>'Fane 7.2. Engangstillæg'!E20</f>
        <v>0</v>
      </c>
      <c r="F18" s="46" t="s">
        <v>3</v>
      </c>
      <c r="G18" s="1"/>
    </row>
    <row r="19" spans="1:7" ht="15" customHeight="1" x14ac:dyDescent="0.45">
      <c r="A19" s="1"/>
      <c r="B19" s="50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85</v>
      </c>
      <c r="C20" s="40"/>
      <c r="D20" s="40"/>
      <c r="E20" s="40"/>
      <c r="F20" s="40"/>
      <c r="G20" s="1"/>
    </row>
    <row r="21" spans="1:7" x14ac:dyDescent="0.45">
      <c r="A21" s="1"/>
      <c r="B21" s="41" t="s">
        <v>150</v>
      </c>
      <c r="C21" s="41"/>
      <c r="D21" s="41"/>
      <c r="E21" s="9">
        <f>'Fane 5. Kontrol af ØR2020'!E35</f>
        <v>0</v>
      </c>
      <c r="F21" s="41" t="s">
        <v>3</v>
      </c>
      <c r="G21" s="1"/>
    </row>
    <row r="22" spans="1:7" x14ac:dyDescent="0.45">
      <c r="A22" s="1"/>
      <c r="B22" s="40" t="s">
        <v>47</v>
      </c>
      <c r="C22" s="40"/>
      <c r="D22" s="40"/>
      <c r="E22" s="10">
        <f>SUM(E13,E15,E19,E21)</f>
        <v>4640856.9365031114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JCn+mmw6syWLRBfwDi37MJfO5F63bwq+p9qvp0ZrO/vO3+ChvjOE8VcpabMdBZ5jkIGIIe8tE9QmKjRHpxPBJQ==" saltValue="OFlvsCSOPkwRO19XjxLH3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46" t="s">
        <v>67</v>
      </c>
      <c r="C8" s="46"/>
      <c r="D8" s="46"/>
      <c r="E8" s="7">
        <f>'Fane 2.2. Økonomisk ramme 2023'!E13</f>
        <v>2777975.4644399583</v>
      </c>
      <c r="F8" s="46" t="s">
        <v>3</v>
      </c>
      <c r="G8" s="1"/>
    </row>
    <row r="9" spans="1:7" ht="15" customHeight="1" x14ac:dyDescent="0.45">
      <c r="A9" s="1"/>
      <c r="B9" s="46" t="s">
        <v>62</v>
      </c>
      <c r="C9" s="46"/>
      <c r="D9" s="46"/>
      <c r="E9" s="7">
        <f>-('Fane 9. Bortfald'!C24+'Fane 9. Bortfald'!E24)</f>
        <v>0</v>
      </c>
      <c r="F9" s="46" t="s">
        <v>3</v>
      </c>
      <c r="G9" s="1"/>
    </row>
    <row r="10" spans="1:7" ht="15" customHeight="1" x14ac:dyDescent="0.45">
      <c r="A10" s="1"/>
      <c r="B10" s="38" t="s">
        <v>18</v>
      </c>
      <c r="C10" s="46"/>
      <c r="D10" s="46"/>
      <c r="E10" s="8">
        <f>SUM(E8:E9)*'Fane 10. Nøgletal'!C14</f>
        <v>9167.3190326518616</v>
      </c>
      <c r="F10" s="46" t="s">
        <v>3</v>
      </c>
      <c r="G10" s="1"/>
    </row>
    <row r="11" spans="1:7" ht="15" customHeight="1" x14ac:dyDescent="0.45">
      <c r="A11" s="1"/>
      <c r="B11" s="38" t="s">
        <v>54</v>
      </c>
      <c r="C11" s="46"/>
      <c r="D11" s="46"/>
      <c r="E11" s="8">
        <f>-SUM(E8:E10)*'Fane 10. Nøgletal'!C19</f>
        <v>-47381.427319034374</v>
      </c>
      <c r="F11" s="46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2739761.3561535757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Nøgletal'!C14)^2</f>
        <v>1869028.9809209616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46"/>
      <c r="D16" s="46"/>
      <c r="E16" s="8">
        <f>'Fane 7.2. Engangstillæg'!C27</f>
        <v>0</v>
      </c>
      <c r="F16" s="46" t="s">
        <v>3</v>
      </c>
      <c r="G16" s="1"/>
    </row>
    <row r="17" spans="1:7" ht="15" customHeight="1" x14ac:dyDescent="0.45">
      <c r="A17" s="1"/>
      <c r="B17" s="29" t="s">
        <v>40</v>
      </c>
      <c r="C17" s="46"/>
      <c r="D17" s="46"/>
      <c r="E17" s="8">
        <f>'Fane 7.2. Engangstillæg'!E27</f>
        <v>0</v>
      </c>
      <c r="F17" s="46" t="s">
        <v>3</v>
      </c>
      <c r="G17" s="1"/>
    </row>
    <row r="18" spans="1:7" ht="15" customHeight="1" x14ac:dyDescent="0.4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68</v>
      </c>
      <c r="C21" s="40"/>
      <c r="D21" s="40"/>
      <c r="E21" s="10">
        <f>SUM(E12,E14,E18,E20)</f>
        <v>4608790.3370745368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GGCEtQkLLC7reFCQYN3HF5meB/Poak8hArTQGnmmfCWQS1BTnSG96o6pDaVqad9EIcjnekw1s0+avhDqEFzHew==" saltValue="HPVF2msGoes4tNZyn4x2Q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46" t="s">
        <v>103</v>
      </c>
      <c r="C8" s="46"/>
      <c r="D8" s="46"/>
      <c r="E8" s="7">
        <f>'Fane 2.3. Økonomisk ramme 2024'!E12</f>
        <v>2739761.3561535757</v>
      </c>
      <c r="F8" s="46" t="s">
        <v>3</v>
      </c>
      <c r="G8" s="1"/>
    </row>
    <row r="9" spans="1:7" ht="15" customHeight="1" x14ac:dyDescent="0.45">
      <c r="A9" s="1"/>
      <c r="B9" s="46" t="s">
        <v>62</v>
      </c>
      <c r="C9" s="46"/>
      <c r="D9" s="46"/>
      <c r="E9" s="7">
        <f>-('Fane 9. Bortfald'!C30+'Fane 9. Bortfald'!E30)</f>
        <v>0</v>
      </c>
      <c r="F9" s="46" t="s">
        <v>3</v>
      </c>
      <c r="G9" s="1"/>
    </row>
    <row r="10" spans="1:7" ht="15" customHeight="1" x14ac:dyDescent="0.45">
      <c r="A10" s="1"/>
      <c r="B10" s="38" t="s">
        <v>18</v>
      </c>
      <c r="C10" s="46"/>
      <c r="D10" s="46"/>
      <c r="E10" s="8">
        <f>SUM(E8:E9)*'Fane 10. Nøgletal'!C14</f>
        <v>9041.2124753068001</v>
      </c>
      <c r="F10" s="46" t="s">
        <v>3</v>
      </c>
      <c r="G10" s="1"/>
    </row>
    <row r="11" spans="1:7" ht="15" customHeight="1" x14ac:dyDescent="0.45">
      <c r="A11" s="1"/>
      <c r="B11" s="38" t="s">
        <v>54</v>
      </c>
      <c r="C11" s="46"/>
      <c r="D11" s="46"/>
      <c r="E11" s="8">
        <f>-SUM(E8:E10)*'Fane 10. Nøgletal'!C19</f>
        <v>-46729.643666691009</v>
      </c>
      <c r="F11" s="46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2702072.9249621914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Nøgletal'!C14)^3</f>
        <v>1875196.7765580011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46"/>
      <c r="D16" s="46"/>
      <c r="E16" s="8">
        <f>'Fane 7.2. Engangstillæg'!C34</f>
        <v>0</v>
      </c>
      <c r="F16" s="46" t="s">
        <v>3</v>
      </c>
      <c r="G16" s="1"/>
    </row>
    <row r="17" spans="1:7" ht="15" customHeight="1" x14ac:dyDescent="0.45">
      <c r="A17" s="1"/>
      <c r="B17" s="29" t="s">
        <v>40</v>
      </c>
      <c r="C17" s="46"/>
      <c r="D17" s="46"/>
      <c r="E17" s="8">
        <f>'Fane 7.2. Engangstillæg'!E34</f>
        <v>0</v>
      </c>
      <c r="F17" s="46" t="s">
        <v>3</v>
      </c>
      <c r="G17" s="1"/>
    </row>
    <row r="18" spans="1:7" ht="15" customHeight="1" x14ac:dyDescent="0.4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104</v>
      </c>
      <c r="C21" s="40"/>
      <c r="D21" s="40"/>
      <c r="E21" s="10">
        <f>SUM(E12,E14,E18,E20)</f>
        <v>4577269.7015201924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9s+YbB/++655JjDacafQnSaLDW6GRqD9j4NRLLlrbCGRq/sy86rgx80Q+WRzQcMwRk5b2XWrYoBOcwm0tJ45eA==" saltValue="fnlX0p9dwKjxp7PuYStro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126</v>
      </c>
      <c r="C8" s="40"/>
      <c r="D8" s="40"/>
      <c r="E8" s="40"/>
      <c r="F8" s="40"/>
      <c r="G8" s="1"/>
    </row>
    <row r="9" spans="1:7" x14ac:dyDescent="0.45">
      <c r="A9" s="1"/>
      <c r="B9" s="87" t="s">
        <v>23</v>
      </c>
      <c r="C9" s="87"/>
      <c r="D9" s="87"/>
      <c r="E9" s="7">
        <v>2844102.2455201242</v>
      </c>
      <c r="F9" s="46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1042.5532435637715</v>
      </c>
      <c r="F10" s="46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0</v>
      </c>
      <c r="F11" s="46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46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46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34710.766544916994</v>
      </c>
      <c r="F14" s="46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-48957.544610246296</v>
      </c>
      <c r="F15" s="46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2830898.0206983592</v>
      </c>
      <c r="F16" s="41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40"/>
      <c r="F17" s="40"/>
      <c r="G17" s="1"/>
    </row>
    <row r="18" spans="1:7" x14ac:dyDescent="0.45">
      <c r="A18" s="1"/>
      <c r="B18" s="79" t="s">
        <v>12</v>
      </c>
      <c r="C18" s="79"/>
      <c r="D18" s="79"/>
      <c r="E18" s="9">
        <v>1990120.55057424</v>
      </c>
      <c r="F18" s="41" t="s">
        <v>3</v>
      </c>
      <c r="G18" s="1"/>
    </row>
    <row r="19" spans="1:7" ht="15.4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45">
      <c r="A20" s="1"/>
      <c r="B20" s="80" t="s">
        <v>39</v>
      </c>
      <c r="C20" s="81"/>
      <c r="D20" s="82"/>
      <c r="E20" s="37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37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0" t="s">
        <v>31</v>
      </c>
      <c r="C24" s="39"/>
      <c r="D24" s="39"/>
      <c r="E24" s="9">
        <v>-308839.07020489243</v>
      </c>
      <c r="F24" s="41" t="s">
        <v>3</v>
      </c>
      <c r="G24" s="1"/>
    </row>
    <row r="25" spans="1:7" x14ac:dyDescent="0.45">
      <c r="A25" s="1"/>
      <c r="B25" s="50" t="s">
        <v>86</v>
      </c>
      <c r="C25" s="39"/>
      <c r="D25" s="39"/>
      <c r="E25" s="9">
        <v>0</v>
      </c>
      <c r="F25" s="41" t="s">
        <v>3</v>
      </c>
      <c r="G25" s="1"/>
    </row>
    <row r="26" spans="1:7" ht="15" customHeight="1" x14ac:dyDescent="0.45">
      <c r="A26" s="1"/>
      <c r="B26" s="40" t="s">
        <v>25</v>
      </c>
      <c r="C26" s="40"/>
      <c r="D26" s="40"/>
      <c r="E26" s="10">
        <f>E16+E18+E22+E24+E25</f>
        <v>4512179.5010677073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olJHomQbJgUpF4eczZ1VwgXVB3fSCZsTRklwgnjtODPi6OQGCjk23Xq8h2u5wOWt70Sqe5iLAvQ+cPUzPWkvdg==" saltValue="M+O/MuuvM+qqIoLOv3TCMw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1" t="s">
        <v>106</v>
      </c>
      <c r="D9" s="41"/>
      <c r="E9" s="1"/>
      <c r="F9" s="1"/>
    </row>
    <row r="10" spans="1:6" x14ac:dyDescent="0.45">
      <c r="A10" s="1"/>
      <c r="B10" s="28" t="s">
        <v>131</v>
      </c>
      <c r="C10" s="8">
        <v>1826903</v>
      </c>
      <c r="D10" s="12" t="s">
        <v>3</v>
      </c>
      <c r="E10" s="1"/>
      <c r="F10" s="1"/>
    </row>
    <row r="11" spans="1:6" x14ac:dyDescent="0.45">
      <c r="A11" s="1"/>
      <c r="B11" s="28" t="s">
        <v>132</v>
      </c>
      <c r="C11" s="8">
        <v>6358</v>
      </c>
      <c r="D11" s="12" t="s">
        <v>3</v>
      </c>
      <c r="E11" s="1"/>
      <c r="F11" s="1"/>
    </row>
    <row r="12" spans="1:6" x14ac:dyDescent="0.45">
      <c r="A12" s="1"/>
      <c r="B12" s="28" t="s">
        <v>133</v>
      </c>
      <c r="C12" s="8">
        <v>11299</v>
      </c>
      <c r="D12" s="12" t="s">
        <v>3</v>
      </c>
      <c r="E12" s="1"/>
      <c r="F12" s="1"/>
    </row>
    <row r="13" spans="1:6" x14ac:dyDescent="0.45">
      <c r="A13" s="1"/>
      <c r="B13" s="56" t="s">
        <v>108</v>
      </c>
      <c r="C13" s="10">
        <f>SUM(C10:C12)</f>
        <v>1844560</v>
      </c>
      <c r="D13" s="11" t="s">
        <v>3</v>
      </c>
      <c r="E13" s="1"/>
      <c r="F13" s="1"/>
    </row>
    <row r="14" spans="1:6" x14ac:dyDescent="0.45">
      <c r="A14" s="1"/>
      <c r="B14" s="56" t="s">
        <v>109</v>
      </c>
      <c r="C14" s="10">
        <f>C13*(1+'Fane 10. Nøgletal'!C14)^2</f>
        <v>1856754.1832584003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FbgYmtzJvmvZCdpPBuQ7emCq7D9UQzh8j8+ktdWhta/ZNYbHYvReGrX0lNffaoxT6SJQS5krUhfBBICQZWYJNQ==" saltValue="uwNZgVG/fJOSRvR15Mf6NQ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152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45"/>
      <c r="C5" s="45"/>
      <c r="D5" s="45"/>
      <c r="E5" s="45"/>
      <c r="F5" s="45"/>
      <c r="G5" s="1"/>
    </row>
    <row r="6" spans="1:7" ht="15" customHeight="1" x14ac:dyDescent="0.45">
      <c r="A6" s="1"/>
      <c r="B6" s="45"/>
      <c r="C6" s="45"/>
      <c r="D6" s="45"/>
      <c r="E6" s="45"/>
      <c r="F6" s="45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135</v>
      </c>
      <c r="C8" s="89"/>
      <c r="D8" s="89"/>
      <c r="E8" s="89"/>
      <c r="F8" s="90"/>
      <c r="G8" s="1"/>
    </row>
    <row r="9" spans="1:7" x14ac:dyDescent="0.45">
      <c r="A9" s="1"/>
      <c r="B9" s="98" t="s">
        <v>136</v>
      </c>
      <c r="C9" s="99"/>
      <c r="D9" s="100"/>
      <c r="E9" s="8">
        <v>801069.40820889641</v>
      </c>
      <c r="F9" s="12" t="s">
        <v>3</v>
      </c>
      <c r="G9" s="1"/>
    </row>
    <row r="10" spans="1:7" x14ac:dyDescent="0.45">
      <c r="A10" s="1"/>
      <c r="B10" s="98" t="s">
        <v>137</v>
      </c>
      <c r="C10" s="99"/>
      <c r="D10" s="100"/>
      <c r="E10" s="8">
        <v>883178.464614233</v>
      </c>
      <c r="F10" s="12" t="s">
        <v>3</v>
      </c>
      <c r="G10" s="1"/>
    </row>
    <row r="11" spans="1:7" x14ac:dyDescent="0.45">
      <c r="A11" s="1"/>
      <c r="B11" s="98" t="s">
        <v>138</v>
      </c>
      <c r="C11" s="99"/>
      <c r="D11" s="100"/>
      <c r="E11" s="8">
        <v>1026312.9904972613</v>
      </c>
      <c r="F11" s="12" t="s">
        <v>3</v>
      </c>
      <c r="G11" s="1"/>
    </row>
    <row r="12" spans="1:7" x14ac:dyDescent="0.45">
      <c r="A12" s="1"/>
      <c r="B12" s="56"/>
      <c r="C12" s="22"/>
      <c r="D12" s="22"/>
      <c r="E12" s="22"/>
      <c r="F12" s="57"/>
      <c r="G12" s="1"/>
    </row>
    <row r="13" spans="1:7" ht="51.75" customHeight="1" x14ac:dyDescent="0.45">
      <c r="A13" s="1"/>
      <c r="B13" s="101" t="s">
        <v>139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140</v>
      </c>
      <c r="C15" s="89"/>
      <c r="D15" s="89"/>
      <c r="E15" s="89"/>
      <c r="F15" s="90"/>
      <c r="G15" s="1"/>
    </row>
    <row r="16" spans="1:7" x14ac:dyDescent="0.45">
      <c r="A16" s="1"/>
      <c r="B16" s="98" t="s">
        <v>141</v>
      </c>
      <c r="C16" s="99"/>
      <c r="D16" s="100"/>
      <c r="E16" s="8">
        <v>0</v>
      </c>
      <c r="F16" s="12" t="s">
        <v>3</v>
      </c>
      <c r="G16" s="1"/>
    </row>
    <row r="17" spans="1:7" x14ac:dyDescent="0.45">
      <c r="A17" s="1"/>
      <c r="B17" s="98" t="s">
        <v>142</v>
      </c>
      <c r="C17" s="99"/>
      <c r="D17" s="100"/>
      <c r="E17" s="8">
        <v>0</v>
      </c>
      <c r="F17" s="12" t="s">
        <v>3</v>
      </c>
      <c r="G17" s="1"/>
    </row>
    <row r="18" spans="1:7" x14ac:dyDescent="0.45">
      <c r="A18" s="1"/>
      <c r="B18" s="56"/>
      <c r="C18" s="22"/>
      <c r="D18" s="22"/>
      <c r="E18" s="22"/>
      <c r="F18" s="57"/>
      <c r="G18" s="1"/>
    </row>
    <row r="19" spans="1:7" ht="29.25" customHeight="1" x14ac:dyDescent="0.45">
      <c r="A19" s="1"/>
      <c r="B19" s="101" t="s">
        <v>143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7" t="s">
        <v>122</v>
      </c>
      <c r="C21" s="48"/>
      <c r="D21" s="48"/>
      <c r="E21" s="48"/>
      <c r="F21" s="49"/>
      <c r="G21" s="1"/>
    </row>
    <row r="22" spans="1:7" x14ac:dyDescent="0.45">
      <c r="A22" s="1"/>
      <c r="B22" s="51" t="s">
        <v>123</v>
      </c>
      <c r="C22" s="52"/>
      <c r="D22" s="53"/>
      <c r="E22" s="8">
        <v>4684524.3600317147</v>
      </c>
      <c r="F22" s="12" t="s">
        <v>3</v>
      </c>
      <c r="G22" s="1"/>
    </row>
    <row r="23" spans="1:7" x14ac:dyDescent="0.45">
      <c r="A23" s="1"/>
      <c r="B23" s="51" t="s">
        <v>124</v>
      </c>
      <c r="C23" s="52"/>
      <c r="D23" s="53"/>
      <c r="E23" s="8">
        <v>3348077</v>
      </c>
      <c r="F23" s="12" t="s">
        <v>3</v>
      </c>
      <c r="G23" s="1"/>
    </row>
    <row r="24" spans="1:7" x14ac:dyDescent="0.45">
      <c r="A24" s="1"/>
      <c r="B24" s="51" t="s">
        <v>30</v>
      </c>
      <c r="C24" s="52"/>
      <c r="D24" s="53"/>
      <c r="E24" s="8">
        <v>0</v>
      </c>
      <c r="F24" s="12" t="s">
        <v>3</v>
      </c>
      <c r="G24" s="1"/>
    </row>
    <row r="25" spans="1:7" x14ac:dyDescent="0.45">
      <c r="A25" s="1"/>
      <c r="B25" s="42" t="s">
        <v>125</v>
      </c>
      <c r="C25" s="43"/>
      <c r="D25" s="44"/>
      <c r="E25" s="34">
        <f>E22-(E23-E24)</f>
        <v>1336447.3600317147</v>
      </c>
      <c r="F25" s="15" t="s">
        <v>3</v>
      </c>
      <c r="G25" s="1"/>
    </row>
    <row r="26" spans="1:7" x14ac:dyDescent="0.45">
      <c r="A26" s="1"/>
      <c r="B26" s="56"/>
      <c r="C26" s="22"/>
      <c r="D26" s="22"/>
      <c r="E26" s="22"/>
      <c r="F26" s="57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144</v>
      </c>
      <c r="C28" s="89"/>
      <c r="D28" s="89"/>
      <c r="E28" s="89"/>
      <c r="F28" s="90"/>
      <c r="G28" s="1"/>
    </row>
    <row r="29" spans="1:7" x14ac:dyDescent="0.45">
      <c r="A29" s="1"/>
      <c r="B29" s="83" t="s">
        <v>145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146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147</v>
      </c>
      <c r="C35" s="94"/>
      <c r="D35" s="94"/>
      <c r="E35" s="9">
        <f>E33/E34</f>
        <v>0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u0hCbECFd4Bo9JDIpThoyDKxv2hQkW1tBAWwy3hQOVeFZzsdB87JM499nGLY5qnGMTPJAESW71RL3wb8N4Khqw==" saltValue="YVc4UaGzveQ4TL5nPrFebw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5"/>
      <c r="I9" s="1"/>
    </row>
    <row r="10" spans="1:9" x14ac:dyDescent="0.45">
      <c r="A10" s="1"/>
      <c r="B10" s="35" t="s">
        <v>151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DOi7FrnytRdK640D5dyJRvI9karGR5zvC0ugbQEuYBH000uyo9aDjKvv1bdiE8tGdKGLC3aO3qFTIYKoWTU89g==" saltValue="9UgdPVyrrVDnvyyITyce1Q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2021-08-19T00:17:06Z</dcterms:modified>
</cp:coreProperties>
</file>