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jen Vand (V20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15"/>
  <c r="C23" i="22"/>
  <c r="C30" i="2"/>
  <c r="C16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7" i="19" l="1"/>
  <c r="C16" i="2"/>
  <c r="C17" i="2"/>
  <c r="C15" i="2"/>
  <c r="C14" i="2"/>
  <c r="C24" i="2" l="1"/>
  <c r="C17" i="22"/>
  <c r="C17" i="23"/>
  <c r="C17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<sst xmlns="http://schemas.openxmlformats.org/spreadsheetml/2006/main" count="624" uniqueCount="256">
  <si>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</si>
  <si>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</si>
  <si>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</si>
  <si>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</si>
  <si>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</si>
  <si>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</si>
  <si>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</si>
  <si>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</si>
  <si>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</si>
  <si>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</si>
  <si>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</si>
  <si>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</si>
  <si>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</si>
  <si>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</si>
  <si>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</si>
  <si>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</si>
  <si>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</si>
  <si>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</si>
  <si>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</si>
  <si>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</si>
  <si>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</si>
  <si>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</si>
  <si>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</si>
  <si>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</si>
  <si>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</si>
  <si>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</si>
  <si>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</si>
  <si>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</si>
  <si>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</si>
  <si>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</si>
  <si>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</si>
  <si>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</si>
  <si>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</si>
  <si>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</si>
  <si>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</si>
  <si>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</si>
  <si>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</si>
  <si>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</si>
  <si>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</si>
  <si>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</si>
  <si>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</si>
  <si>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</si>
  <si>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</si>
  <si>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</si>
  <si>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</si>
  <si>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</si>
  <si>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</si>
  <si>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</si>
  <si>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</si>
  <si>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</si>
  <si>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</si>
  <si>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</si>
  <si>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</si>
  <si>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</si>
  <si>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</si>
  <si>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</si>
  <si>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</si>
  <si>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</si>
  <si>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</si>
  <si>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</si>
  <si>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</si>
  <si>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</si>
  <si>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</si>
  <si>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</si>
  <si>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</si>
  <si>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</si>
  <si>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</si>
  <si>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</si>
  <si>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</si>
  <si>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</si>
  <si>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</si>
  <si>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</si>
  <si>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</si>
  <si>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</si>
  <si>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</si>
  <si>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</si>
  <si>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</si>
  <si>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</si>
  <si>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</si>
  <si>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</si>
  <si>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</si>
  <si>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</si>
  <si>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</si>
  <si>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</si>
  <si>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</si>
  <si>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</si>
  <si>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</si>
  <si>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</si>
  <si>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</si>
  <si>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</si>
  <si>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</si>
  <si>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</si>
  <si>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</si>
  <si>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</si>
  <si>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</si>
  <si>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</si>
  <si>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</si>
  <si>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</si>
  <si>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</si>
  <si>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</si>
  <si>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</si>
  <si>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</si>
  <si>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</si>
  <si>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</si>
  <si>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</si>
  <si>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</si>
  <si>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</si>
  <si>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</si>
  <si>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</si>
  <si>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</si>
  <si>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</si>
  <si>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</si>
  <si>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</si>
  <si>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</si>
  <si>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</si>
  <si>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</si>
  <si>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</si>
  <si>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</si>
  <si>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</si>
  <si>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</si>
  <si>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</si>
  <si>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</si>
  <si>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</si>
  <si>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</si>
  <si>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</si>
  <si>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</si>
  <si>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</si>
  <si>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</si>
  <si>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</si>
  <si>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</si>
  <si>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</si>
  <si>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</si>
  <si>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</si>
  <si>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</si>
  <si>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</si>
  <si>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</si>
  <si>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</si>
  <si>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</si>
  <si>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</si>
  <si>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</si>
  <si>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</si>
  <si>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</si>
  <si>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</si>
  <si>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</si>
  <si>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</si>
  <si>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</si>
  <si>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</si>
  <si>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</si>
  <si>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</si>
  <si>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</si>
  <si>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</si>
  <si>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</si>
  <si>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</si>
  <si>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</si>
  <si>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</si>
  <si>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</si>
  <si>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</si>
  <si>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</si>
  <si>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</si>
  <si>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</si>
  <si>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</si>
  <si>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</si>
  <si>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</si>
  <si>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</si>
  <si>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</si>
  <si>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</si>
  <si>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</si>
  <si>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</si>
  <si>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</si>
  <si>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</si>
  <si>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</si>
  <si>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</si>
  <si>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</si>
  <si>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</si>
  <si>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</si>
  <si>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</si>
  <si>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</si>
  <si>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</si>
  <si>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</si>
  <si>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</si>
  <si>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</si>
  <si>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</si>
  <si>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</si>
  <si>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</si>
  <si>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</si>
  <si>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</si>
  <si>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</si>
  <si>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</si>
  <si>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</si>
  <si>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</si>
  <si>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</si>
  <si>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</si>
  <si>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</si>
  <si>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</si>
  <si>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</si>
  <si>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</si>
  <si>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</si>
  <si>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</si>
  <si>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</si>
  <si>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</si>
  <si>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</si>
  <si>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</si>
  <si>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</si>
  <si>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</si>
  <si>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</si>
  <si>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</si>
  <si>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</si>
  <si>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</si>
  <si>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</si>
  <si>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</si>
  <si>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</si>
  <si>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</si>
  <si>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</si>
  <si>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</si>
  <si>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</si>
  <si>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</si>
  <si>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</si>
  <si>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</si>
  <si>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</si>
  <si>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</si>
  <si>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</si>
  <si>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</si>
  <si>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</si>
  <si>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</si>
  <si>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</si>
  <si>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</si>
  <si>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</si>
  <si>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</si>
  <si>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</si>
  <si>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</si>
  <si>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</si>
  <si>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Erstatninger</t>
  </si>
  <si>
    <t>Frivillige aftaler om dyrkningspraksis eller andre restriktioner i arealanvendelse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</si>
  <si>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</si>
  <si>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</si>
  <si>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</si>
  <si>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</si>
  <si>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</si>
  <si>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</si>
  <si>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</si>
  <si>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</si>
  <si>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</si>
  <si>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</si>
  <si>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</si>
  <si>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</si>
  <si>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</si>
  <si>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</si>
  <si>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Byggemodning og nye tilslutninger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</si>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</sst>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4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255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163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15</v>
      </c>
      <c r="D14" s="81" t="s">
        <v>83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35</v>
      </c>
      <c r="D15" s="81" t="s">
        <v>128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36</v>
      </c>
      <c r="D16" s="81" t="s">
        <v>180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127</v>
      </c>
      <c r="D17" s="81" t="s">
        <v>181</v>
      </c>
      <c r="E17" s="82"/>
      <c r="F17" s="82"/>
      <c r="G17" s="83"/>
      <c r="H17" s="1"/>
      <c r="I17" s="1"/>
    </row>
    <row r="18" spans="1:9" x14ac:dyDescent="0.25">
      <c r="A18" s="1"/>
      <c r="B18" s="1"/>
      <c r="C18" s="32" t="s">
        <v>111</v>
      </c>
      <c r="D18" s="87" t="s">
        <v>100</v>
      </c>
      <c r="E18" s="88"/>
      <c r="F18" s="88"/>
      <c r="G18" s="89"/>
      <c r="H18" s="1"/>
      <c r="I18" s="1"/>
    </row>
    <row r="19" spans="1:9" x14ac:dyDescent="0.25">
      <c r="A19" s="1"/>
      <c r="B19" s="1"/>
      <c r="C19" s="32" t="s">
        <v>112</v>
      </c>
      <c r="D19" s="87" t="s">
        <v>101</v>
      </c>
      <c r="E19" s="88"/>
      <c r="F19" s="88"/>
      <c r="G19" s="89"/>
      <c r="H19" s="1"/>
      <c r="I19" s="1"/>
    </row>
    <row r="20" spans="1:9" x14ac:dyDescent="0.25">
      <c r="A20" s="1"/>
      <c r="B20" s="1"/>
      <c r="C20" s="32" t="s">
        <v>7</v>
      </c>
      <c r="D20" s="87" t="s">
        <v>9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113</v>
      </c>
      <c r="D21" s="78" t="s">
        <v>12</v>
      </c>
      <c r="E21" s="79"/>
      <c r="F21" s="79"/>
      <c r="G21" s="80"/>
      <c r="H21" s="1"/>
      <c r="I21" s="1"/>
    </row>
    <row r="22" spans="1:9" x14ac:dyDescent="0.25">
      <c r="A22" s="1"/>
      <c r="B22" s="1"/>
      <c r="C22" s="6" t="s">
        <v>87</v>
      </c>
      <c r="D22" s="72" t="s">
        <v>182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8</v>
      </c>
      <c r="D23" s="72" t="s">
        <v>37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170</v>
      </c>
      <c r="D24" s="72" t="s">
        <v>88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171</v>
      </c>
      <c r="D25" s="72" t="s">
        <v>89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172</v>
      </c>
      <c r="D26" s="72" t="s">
        <v>129</v>
      </c>
      <c r="E26" s="73"/>
      <c r="F26" s="73"/>
      <c r="G26" s="74"/>
      <c r="H26" s="1"/>
      <c r="I26" s="1"/>
    </row>
    <row r="27" spans="1:9" x14ac:dyDescent="0.25">
      <c r="A27" s="1"/>
      <c r="B27" s="1"/>
      <c r="C27" s="6" t="s">
        <v>114</v>
      </c>
      <c r="D27" s="72" t="s">
        <v>38</v>
      </c>
      <c r="E27" s="73"/>
      <c r="F27" s="73"/>
      <c r="G27" s="74"/>
      <c r="H27" s="1"/>
      <c r="I27" s="1"/>
    </row>
    <row r="28" spans="1:9" x14ac:dyDescent="0.25">
      <c r="A28" s="1"/>
      <c r="B28" s="1"/>
      <c r="C28" s="6" t="s">
        <v>108</v>
      </c>
      <c r="D28" s="75" t="s">
        <v>109</v>
      </c>
      <c r="E28" s="76"/>
      <c r="F28" s="76"/>
      <c r="G28" s="77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lqpjdFl0Pq/lKLUY2fkyaLhrq4uEprEAp4ayIWHcjGm7KIb4M0nFgF6JGBN74pSfozEYz2mlT+wtUcP679/dA==" saltValue="tZHhrA+mVncfrD5qzu8pQ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0" t="s">
        <v>117</v>
      </c>
      <c r="C3" s="90"/>
      <c r="D3" s="90"/>
      <c r="E3" s="1"/>
      <c r="F3" s="1"/>
    </row>
    <row r="4" spans="1:6" ht="15" customHeight="1" x14ac:dyDescent="0.25">
      <c r="A4" s="1"/>
      <c r="B4" s="90"/>
      <c r="C4" s="90"/>
      <c r="D4" s="9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3" t="s">
        <v>202</v>
      </c>
      <c r="C8" s="114"/>
      <c r="D8" s="115"/>
      <c r="E8" s="1"/>
      <c r="F8" s="1"/>
    </row>
    <row r="9" spans="1:6" ht="15" customHeight="1" x14ac:dyDescent="0.25">
      <c r="A9" s="1"/>
      <c r="B9" s="49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4" t="s">
        <v>227</v>
      </c>
      <c r="C10" s="9">
        <v>5486704</v>
      </c>
      <c r="D10" s="14" t="s">
        <v>3</v>
      </c>
      <c r="E10" s="1"/>
      <c r="F10" s="1"/>
    </row>
    <row r="11" spans="1:6" ht="15" customHeight="1" x14ac:dyDescent="0.25">
      <c r="A11" s="1"/>
      <c r="B11" s="64" t="s">
        <v>228</v>
      </c>
      <c r="C11" s="9">
        <v>54461</v>
      </c>
      <c r="D11" s="14" t="s">
        <v>3</v>
      </c>
      <c r="E11" s="1"/>
      <c r="F11" s="1"/>
    </row>
    <row r="12" spans="1:6" ht="15" customHeight="1" x14ac:dyDescent="0.25">
      <c r="A12" s="1"/>
      <c r="B12" s="64" t="s">
        <v>229</v>
      </c>
      <c r="C12" s="9">
        <v>101798</v>
      </c>
      <c r="D12" s="14" t="s">
        <v>3</v>
      </c>
      <c r="E12" s="1"/>
      <c r="F12" s="1"/>
    </row>
    <row r="13" spans="1:6" x14ac:dyDescent="0.25">
      <c r="A13" s="1"/>
      <c r="B13" s="64" t="s">
        <v>230</v>
      </c>
      <c r="C13" s="9">
        <v>15144</v>
      </c>
      <c r="D13" s="14" t="s">
        <v>3</v>
      </c>
      <c r="E13" s="1"/>
      <c r="F13" s="1"/>
    </row>
    <row r="14" spans="1:6" x14ac:dyDescent="0.25">
      <c r="A14" s="1"/>
      <c r="B14" s="64" t="s">
        <v>231</v>
      </c>
      <c r="C14" s="9">
        <v>4483</v>
      </c>
      <c r="D14" s="14" t="s">
        <v>3</v>
      </c>
      <c r="E14" s="1"/>
      <c r="F14" s="1"/>
    </row>
    <row r="15" spans="1:6" x14ac:dyDescent="0.25">
      <c r="A15" s="1"/>
      <c r="B15" s="64" t="s">
        <v>232</v>
      </c>
      <c r="C15" s="9">
        <v>858</v>
      </c>
      <c r="D15" s="14" t="s">
        <v>3</v>
      </c>
      <c r="E15" s="1"/>
      <c r="F15" s="1"/>
    </row>
    <row r="16" spans="1:6" x14ac:dyDescent="0.25">
      <c r="A16" s="1"/>
      <c r="B16" s="52" t="s">
        <v>204</v>
      </c>
      <c r="C16" s="12">
        <f>SUM(C10:C15)</f>
        <v>5663448</v>
      </c>
      <c r="D16" s="13" t="s">
        <v>3</v>
      </c>
      <c r="E16" s="1"/>
      <c r="F16" s="1"/>
    </row>
    <row r="17" spans="1:6" x14ac:dyDescent="0.25">
      <c r="A17" s="1"/>
      <c r="B17" s="52" t="s">
        <v>205</v>
      </c>
      <c r="C17" s="12">
        <f>C16*(1+'Fane 12. Nøgletal'!C14)^2</f>
        <v>5700888.4317487208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ahjlvxqYRbafVwuNkzU5kUvCefyOslJyS3Oz/gR/QvpnaGLh1hWR+wt1Y8qnmL6FGJrplld80Y/dPRZRTD0eWQ==" saltValue="DZsiAGPyZFOy8hUD3EqQH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8" width="9.85546875" style="2" bestFit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ht="29.25" customHeight="1" x14ac:dyDescent="0.25">
      <c r="A3" s="1"/>
      <c r="B3" s="98" t="s">
        <v>220</v>
      </c>
      <c r="C3" s="98"/>
      <c r="D3" s="98"/>
      <c r="E3" s="98"/>
      <c r="F3" s="98"/>
      <c r="G3" s="1"/>
    </row>
    <row r="4" spans="1:8" ht="15" customHeight="1" x14ac:dyDescent="0.25">
      <c r="A4" s="1"/>
      <c r="B4" s="98"/>
      <c r="C4" s="98"/>
      <c r="D4" s="98"/>
      <c r="E4" s="98"/>
      <c r="F4" s="98"/>
      <c r="G4" s="1"/>
    </row>
    <row r="5" spans="1:8" ht="15" customHeight="1" x14ac:dyDescent="0.25">
      <c r="A5" s="1"/>
      <c r="B5" s="56"/>
      <c r="C5" s="56"/>
      <c r="D5" s="56"/>
      <c r="E5" s="56"/>
      <c r="F5" s="56"/>
      <c r="G5" s="1"/>
    </row>
    <row r="6" spans="1:8" ht="15" customHeight="1" x14ac:dyDescent="0.25">
      <c r="A6" s="1"/>
      <c r="B6" s="56"/>
      <c r="C6" s="56"/>
      <c r="D6" s="56"/>
      <c r="E6" s="56"/>
      <c r="F6" s="56"/>
      <c r="G6" s="1"/>
    </row>
    <row r="7" spans="1:8" x14ac:dyDescent="0.25">
      <c r="A7" s="1"/>
      <c r="B7" s="1"/>
      <c r="C7" s="1"/>
      <c r="D7" s="1"/>
      <c r="E7" s="1"/>
      <c r="F7" s="1"/>
      <c r="G7" s="1"/>
    </row>
    <row r="8" spans="1:8" x14ac:dyDescent="0.25">
      <c r="A8" s="1"/>
      <c r="B8" s="113" t="s">
        <v>234</v>
      </c>
      <c r="C8" s="114"/>
      <c r="D8" s="114"/>
      <c r="E8" s="114"/>
      <c r="F8" s="115"/>
      <c r="G8" s="1"/>
    </row>
    <row r="9" spans="1:8" x14ac:dyDescent="0.25">
      <c r="A9" s="1"/>
      <c r="B9" s="116" t="s">
        <v>235</v>
      </c>
      <c r="C9" s="117"/>
      <c r="D9" s="118"/>
      <c r="E9" s="9">
        <v>-2106978.6307163667</v>
      </c>
      <c r="F9" s="14" t="s">
        <v>3</v>
      </c>
      <c r="G9" s="1"/>
    </row>
    <row r="10" spans="1:8" x14ac:dyDescent="0.25">
      <c r="A10" s="1"/>
      <c r="B10" s="116" t="s">
        <v>236</v>
      </c>
      <c r="C10" s="117"/>
      <c r="D10" s="118"/>
      <c r="E10" s="9">
        <v>-811573.31979652122</v>
      </c>
      <c r="F10" s="14" t="s">
        <v>3</v>
      </c>
      <c r="G10" s="1"/>
    </row>
    <row r="11" spans="1:8" x14ac:dyDescent="0.25">
      <c r="A11" s="1"/>
      <c r="B11" s="116" t="s">
        <v>237</v>
      </c>
      <c r="C11" s="117"/>
      <c r="D11" s="118"/>
      <c r="E11" s="9">
        <v>-1248780.3825170491</v>
      </c>
      <c r="F11" s="14" t="s">
        <v>3</v>
      </c>
      <c r="G11" s="1"/>
      <c r="H11" s="46"/>
    </row>
    <row r="12" spans="1:8" x14ac:dyDescent="0.25">
      <c r="A12" s="1"/>
      <c r="B12" s="116" t="s">
        <v>238</v>
      </c>
      <c r="C12" s="117"/>
      <c r="D12" s="118"/>
      <c r="E12" s="9">
        <f>IF(OR(AND(E10&gt;0,E11&lt;0),AND(E11&lt;0,E34&gt;0)),E17+E18,E11)</f>
        <v>-1248780.3825170491</v>
      </c>
      <c r="F12" s="14" t="s">
        <v>3</v>
      </c>
      <c r="G12" s="1"/>
    </row>
    <row r="13" spans="1:8" x14ac:dyDescent="0.25">
      <c r="A13" s="1"/>
      <c r="B13" s="52"/>
      <c r="C13" s="53"/>
      <c r="D13" s="53"/>
      <c r="E13" s="53"/>
      <c r="F13" s="20"/>
      <c r="G13" s="1"/>
    </row>
    <row r="14" spans="1:8" ht="54.75" customHeight="1" x14ac:dyDescent="0.25">
      <c r="A14" s="1"/>
      <c r="B14" s="102" t="s">
        <v>239</v>
      </c>
      <c r="C14" s="103"/>
      <c r="D14" s="103"/>
      <c r="E14" s="103"/>
      <c r="F14" s="104"/>
      <c r="G14" s="1"/>
    </row>
    <row r="15" spans="1:8" ht="27" customHeight="1" x14ac:dyDescent="0.25">
      <c r="A15" s="1"/>
      <c r="B15" s="1"/>
      <c r="C15" s="1"/>
      <c r="D15" s="1"/>
      <c r="E15" s="1"/>
      <c r="F15" s="1"/>
      <c r="G15" s="1"/>
    </row>
    <row r="16" spans="1:8" x14ac:dyDescent="0.25">
      <c r="A16" s="1"/>
      <c r="B16" s="113" t="s">
        <v>240</v>
      </c>
      <c r="C16" s="114"/>
      <c r="D16" s="114"/>
      <c r="E16" s="114"/>
      <c r="F16" s="115"/>
      <c r="G16" s="1"/>
    </row>
    <row r="17" spans="1:7" x14ac:dyDescent="0.25">
      <c r="A17" s="1"/>
      <c r="B17" s="116" t="s">
        <v>241</v>
      </c>
      <c r="C17" s="117"/>
      <c r="D17" s="118"/>
      <c r="E17" s="9">
        <v>-1030176.6598982606</v>
      </c>
      <c r="F17" s="14" t="s">
        <v>3</v>
      </c>
      <c r="G17" s="1"/>
    </row>
    <row r="18" spans="1:7" x14ac:dyDescent="0.25">
      <c r="A18" s="1"/>
      <c r="B18" s="116" t="s">
        <v>242</v>
      </c>
      <c r="C18" s="117"/>
      <c r="D18" s="118"/>
      <c r="E18" s="9">
        <v>-1030176.6598982606</v>
      </c>
      <c r="F18" s="14" t="s">
        <v>3</v>
      </c>
      <c r="G18" s="1"/>
    </row>
    <row r="19" spans="1:7" x14ac:dyDescent="0.25">
      <c r="A19" s="1"/>
      <c r="B19" s="52"/>
      <c r="C19" s="53"/>
      <c r="D19" s="53"/>
      <c r="E19" s="53"/>
      <c r="F19" s="20"/>
      <c r="G19" s="1"/>
    </row>
    <row r="20" spans="1:7" ht="30" customHeight="1" x14ac:dyDescent="0.25">
      <c r="A20" s="1"/>
      <c r="B20" s="102" t="s">
        <v>243</v>
      </c>
      <c r="C20" s="103"/>
      <c r="D20" s="103"/>
      <c r="E20" s="103"/>
      <c r="F20" s="104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1" t="s">
        <v>206</v>
      </c>
      <c r="C22" s="62"/>
      <c r="D22" s="62"/>
      <c r="E22" s="62"/>
      <c r="F22" s="63"/>
      <c r="G22" s="1"/>
    </row>
    <row r="23" spans="1:7" x14ac:dyDescent="0.25">
      <c r="A23" s="1"/>
      <c r="B23" s="58" t="s">
        <v>207</v>
      </c>
      <c r="C23" s="59"/>
      <c r="D23" s="60"/>
      <c r="E23" s="9">
        <v>13809023.861744242</v>
      </c>
      <c r="F23" s="14" t="s">
        <v>3</v>
      </c>
      <c r="G23" s="1"/>
    </row>
    <row r="24" spans="1:7" x14ac:dyDescent="0.25">
      <c r="A24" s="1"/>
      <c r="B24" s="58" t="s">
        <v>208</v>
      </c>
      <c r="C24" s="59"/>
      <c r="D24" s="60"/>
      <c r="E24" s="9">
        <v>14218114</v>
      </c>
      <c r="F24" s="14" t="s">
        <v>3</v>
      </c>
      <c r="G24" s="1"/>
    </row>
    <row r="25" spans="1:7" x14ac:dyDescent="0.25">
      <c r="A25" s="1"/>
      <c r="B25" s="58" t="s">
        <v>34</v>
      </c>
      <c r="C25" s="59"/>
      <c r="D25" s="60"/>
      <c r="E25" s="9">
        <v>0</v>
      </c>
      <c r="F25" s="14" t="s">
        <v>3</v>
      </c>
      <c r="G25" s="1"/>
    </row>
    <row r="26" spans="1:7" x14ac:dyDescent="0.25">
      <c r="A26" s="1"/>
      <c r="B26" s="65" t="s">
        <v>252</v>
      </c>
      <c r="C26" s="66"/>
      <c r="D26" s="67"/>
      <c r="E26" s="45">
        <f>E23-(E24-E25)</f>
        <v>-409090.13825575821</v>
      </c>
      <c r="F26" s="17" t="s">
        <v>3</v>
      </c>
      <c r="G26" s="1"/>
    </row>
    <row r="27" spans="1:7" x14ac:dyDescent="0.25">
      <c r="A27" s="1"/>
      <c r="B27" s="52"/>
      <c r="C27" s="53"/>
      <c r="D27" s="53"/>
      <c r="E27" s="53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3" t="s">
        <v>244</v>
      </c>
      <c r="C29" s="114"/>
      <c r="D29" s="114"/>
      <c r="E29" s="114"/>
      <c r="F29" s="115"/>
      <c r="G29" s="1"/>
    </row>
    <row r="30" spans="1:7" x14ac:dyDescent="0.25">
      <c r="A30" s="1"/>
      <c r="B30" s="134" t="s">
        <v>245</v>
      </c>
      <c r="C30" s="135"/>
      <c r="D30" s="136"/>
      <c r="E30" s="47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-1030176.6598982606</v>
      </c>
      <c r="F30" s="17" t="s">
        <v>3</v>
      </c>
      <c r="G30" s="1"/>
    </row>
    <row r="31" spans="1:7" x14ac:dyDescent="0.25">
      <c r="A31" s="1"/>
      <c r="B31" s="113"/>
      <c r="C31" s="114"/>
      <c r="D31" s="114"/>
      <c r="E31" s="114"/>
      <c r="F31" s="115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3" t="s">
        <v>246</v>
      </c>
      <c r="C33" s="114"/>
      <c r="D33" s="114"/>
      <c r="E33" s="114"/>
      <c r="F33" s="115"/>
      <c r="G33" s="1"/>
    </row>
    <row r="34" spans="1:7" x14ac:dyDescent="0.25">
      <c r="A34" s="1"/>
      <c r="B34" s="138" t="s">
        <v>253</v>
      </c>
      <c r="C34" s="139"/>
      <c r="D34" s="140"/>
      <c r="E34" s="9">
        <v>0</v>
      </c>
      <c r="F34" s="14"/>
      <c r="G34" s="1"/>
    </row>
    <row r="35" spans="1:7" x14ac:dyDescent="0.25">
      <c r="A35" s="1"/>
      <c r="B35" s="138" t="s">
        <v>161</v>
      </c>
      <c r="C35" s="139"/>
      <c r="D35" s="140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-409090.13825575821</v>
      </c>
      <c r="F35" s="14" t="s">
        <v>3</v>
      </c>
      <c r="G35" s="1"/>
    </row>
    <row r="36" spans="1:7" x14ac:dyDescent="0.25">
      <c r="A36" s="1"/>
      <c r="B36" s="138" t="s">
        <v>110</v>
      </c>
      <c r="C36" s="139"/>
      <c r="D36" s="140"/>
      <c r="E36" s="9">
        <v>4</v>
      </c>
      <c r="F36" s="14" t="s">
        <v>19</v>
      </c>
      <c r="G36" s="1"/>
    </row>
    <row r="37" spans="1:7" x14ac:dyDescent="0.25">
      <c r="A37" s="1"/>
      <c r="B37" s="137" t="s">
        <v>160</v>
      </c>
      <c r="C37" s="137"/>
      <c r="D37" s="137"/>
      <c r="E37" s="10">
        <f>E35/E36</f>
        <v>-102272.53456393955</v>
      </c>
      <c r="F37" s="17" t="s">
        <v>3</v>
      </c>
      <c r="G37" s="1"/>
    </row>
    <row r="38" spans="1:7" x14ac:dyDescent="0.25">
      <c r="A38" s="1"/>
      <c r="B38" s="131"/>
      <c r="C38" s="132"/>
      <c r="D38" s="132"/>
      <c r="E38" s="132"/>
      <c r="F38" s="133"/>
      <c r="G38" s="1"/>
    </row>
    <row r="39" spans="1:7" ht="75" customHeight="1" x14ac:dyDescent="0.25">
      <c r="A39" s="1"/>
      <c r="B39" s="102" t="s">
        <v>251</v>
      </c>
      <c r="C39" s="103"/>
      <c r="D39" s="103"/>
      <c r="E39" s="103"/>
      <c r="F39" s="104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nr6SK72DbQ6G5P16q86FnTZ420iT0rG5TYXvZGFhlodyBmZZYag7Je6L/FRhtljlJchXTekek7uxhSfhRXyOw==" saltValue="KXslOwQfEg7SCOU/oYx84g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169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157</v>
      </c>
      <c r="C8" s="114"/>
      <c r="D8" s="114"/>
      <c r="E8" s="114"/>
      <c r="F8" s="114"/>
      <c r="G8" s="114"/>
      <c r="H8" s="11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5"/>
      <c r="I9" s="1"/>
    </row>
    <row r="10" spans="1:9" x14ac:dyDescent="0.25">
      <c r="A10" s="1"/>
      <c r="B10" s="69" t="s">
        <v>254</v>
      </c>
      <c r="C10" s="70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3" t="s">
        <v>158</v>
      </c>
      <c r="C11" s="114"/>
      <c r="D11" s="11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7w91lN8hbnIGH4gRU7RMP0PaYx/iemxPY6/u5Q7VGgTVs9QUVSo+SXxJFWQDj3TGmdxa1lYVl5aECRy77cgwXw==" saltValue="7qNq5MPeUWgXHFBlgSKPS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2" t="s">
        <v>84</v>
      </c>
      <c r="C8" s="53"/>
      <c r="D8" s="53"/>
      <c r="E8" s="53"/>
      <c r="F8" s="20"/>
      <c r="G8" s="1"/>
    </row>
    <row r="9" spans="1:7" ht="17.25" customHeight="1" x14ac:dyDescent="0.25">
      <c r="A9" s="1"/>
      <c r="B9" s="50" t="s">
        <v>16</v>
      </c>
      <c r="C9" s="50" t="s">
        <v>11</v>
      </c>
      <c r="D9" s="51"/>
      <c r="E9" s="50" t="s">
        <v>32</v>
      </c>
      <c r="F9" s="55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247</v>
      </c>
      <c r="C11" s="22">
        <v>138591</v>
      </c>
      <c r="D11" s="14" t="s">
        <v>3</v>
      </c>
      <c r="E11" s="9">
        <v>2972</v>
      </c>
      <c r="F11" s="14" t="s">
        <v>3</v>
      </c>
      <c r="G11" s="1"/>
    </row>
    <row r="12" spans="1:7" x14ac:dyDescent="0.25">
      <c r="A12" s="1"/>
      <c r="B12" s="52" t="s">
        <v>136</v>
      </c>
      <c r="C12" s="12">
        <f>SUM(C10:C11)</f>
        <v>138591</v>
      </c>
      <c r="D12" s="13" t="s">
        <v>3</v>
      </c>
      <c r="E12" s="12">
        <f>SUM(E10:E11)</f>
        <v>2972</v>
      </c>
      <c r="F12" s="13" t="s">
        <v>3</v>
      </c>
      <c r="G12" s="1"/>
    </row>
    <row r="13" spans="1:7" x14ac:dyDescent="0.25">
      <c r="A13" s="1"/>
      <c r="B13" s="52" t="s">
        <v>209</v>
      </c>
      <c r="C13" s="12">
        <f>C12*(1+'Fane 12. Nøgletal'!C14)</f>
        <v>139048.35030000002</v>
      </c>
      <c r="D13" s="13" t="s">
        <v>3</v>
      </c>
      <c r="E13" s="12">
        <f>E12*(1+'Fane 12. Nøgletal'!C14)</f>
        <v>2981.8076000000001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LPq/Ja6qb3/1We1sKsyBQpH4hYzpJ96ClMB8R5Zmi2Oxr03aPg/fuMwUjrhdRLn7vcSR8rAfsJSuuPPlks9vg==" saltValue="hyCxH+qyITgFTc0XW1GFF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102</v>
      </c>
      <c r="C8" s="114"/>
      <c r="D8" s="114"/>
      <c r="E8" s="114"/>
      <c r="F8" s="115"/>
      <c r="G8" s="1"/>
    </row>
    <row r="9" spans="1:7" x14ac:dyDescent="0.25">
      <c r="A9" s="1"/>
      <c r="B9" s="50" t="s">
        <v>16</v>
      </c>
      <c r="C9" s="50" t="s">
        <v>11</v>
      </c>
      <c r="D9" s="51"/>
      <c r="E9" s="50" t="s">
        <v>32</v>
      </c>
      <c r="F9" s="55"/>
      <c r="G9" s="1"/>
    </row>
    <row r="10" spans="1:7" x14ac:dyDescent="0.25">
      <c r="A10" s="1"/>
      <c r="B10" s="25" t="s">
        <v>250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2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2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3" t="s">
        <v>103</v>
      </c>
      <c r="C16" s="114"/>
      <c r="D16" s="114"/>
      <c r="E16" s="114"/>
      <c r="F16" s="115"/>
      <c r="G16" s="1"/>
    </row>
    <row r="17" spans="1:7" x14ac:dyDescent="0.25">
      <c r="A17" s="1"/>
      <c r="B17" s="50" t="s">
        <v>16</v>
      </c>
      <c r="C17" s="50" t="s">
        <v>11</v>
      </c>
      <c r="D17" s="51"/>
      <c r="E17" s="50" t="s">
        <v>32</v>
      </c>
      <c r="F17" s="55"/>
      <c r="G17" s="1"/>
    </row>
    <row r="18" spans="1:7" x14ac:dyDescent="0.25">
      <c r="A18" s="1"/>
      <c r="B18" s="25" t="s">
        <v>250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2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2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3" t="s">
        <v>138</v>
      </c>
      <c r="C24" s="114"/>
      <c r="D24" s="114"/>
      <c r="E24" s="114"/>
      <c r="F24" s="115"/>
      <c r="G24" s="1"/>
    </row>
    <row r="25" spans="1:7" x14ac:dyDescent="0.25">
      <c r="A25" s="1"/>
      <c r="B25" s="50" t="s">
        <v>16</v>
      </c>
      <c r="C25" s="50" t="s">
        <v>11</v>
      </c>
      <c r="D25" s="51"/>
      <c r="E25" s="50" t="s">
        <v>32</v>
      </c>
      <c r="F25" s="55"/>
      <c r="G25" s="1"/>
    </row>
    <row r="26" spans="1:7" x14ac:dyDescent="0.25">
      <c r="A26" s="1"/>
      <c r="B26" s="25" t="s">
        <v>250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2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2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3" t="s">
        <v>211</v>
      </c>
      <c r="C32" s="114"/>
      <c r="D32" s="114"/>
      <c r="E32" s="114"/>
      <c r="F32" s="115"/>
      <c r="G32" s="1"/>
    </row>
    <row r="33" spans="1:7" x14ac:dyDescent="0.25">
      <c r="A33" s="1"/>
      <c r="B33" s="50" t="s">
        <v>16</v>
      </c>
      <c r="C33" s="50" t="s">
        <v>11</v>
      </c>
      <c r="D33" s="51"/>
      <c r="E33" s="50" t="s">
        <v>32</v>
      </c>
      <c r="F33" s="55"/>
      <c r="G33" s="1"/>
    </row>
    <row r="34" spans="1:7" x14ac:dyDescent="0.25">
      <c r="A34" s="1"/>
      <c r="B34" s="25" t="s">
        <v>250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2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2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2Rj+j8Kh6xI1VPPM/60X3jU5BmqPHqfdiUS9kCwVUzszH8RYeU5hu0hs+QJ/Q9vQf19KSOht3PlPJdZhj2RV+g==" saltValue="RHbEc1eF+iaxO4mNEiAoK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166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130</v>
      </c>
      <c r="C8" s="114"/>
      <c r="D8" s="114"/>
      <c r="E8" s="114"/>
      <c r="F8" s="115"/>
      <c r="G8" s="1"/>
    </row>
    <row r="9" spans="1:7" ht="15" customHeight="1" x14ac:dyDescent="0.25">
      <c r="A9" s="1"/>
      <c r="B9" s="54" t="s">
        <v>131</v>
      </c>
      <c r="C9" s="108" t="s">
        <v>11</v>
      </c>
      <c r="D9" s="110"/>
      <c r="E9" s="108" t="s">
        <v>32</v>
      </c>
      <c r="F9" s="110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cnBM8dOd9bu+LiFRY2gcYajSJzq2Eo0gfyPJqY44E4t/qfVB8seZM6HZLCqPiPzorfiWHO/ZsExIT72NsmExYw==" saltValue="HLdOyICrVp3THCcS49ZMP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165</v>
      </c>
      <c r="C3" s="98"/>
      <c r="D3" s="98"/>
      <c r="E3" s="98"/>
      <c r="F3" s="98"/>
      <c r="G3" s="1"/>
    </row>
    <row r="4" spans="1:7" ht="25.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3" t="s">
        <v>98</v>
      </c>
      <c r="C8" s="114"/>
      <c r="D8" s="114"/>
      <c r="E8" s="114"/>
      <c r="F8" s="115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32</v>
      </c>
      <c r="F9" s="55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2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2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3" t="s">
        <v>99</v>
      </c>
      <c r="C15" s="114"/>
      <c r="D15" s="114"/>
      <c r="E15" s="114"/>
      <c r="F15" s="115"/>
      <c r="G15" s="1"/>
    </row>
    <row r="16" spans="1:7" ht="26.25" x14ac:dyDescent="0.25">
      <c r="A16" s="1"/>
      <c r="B16" s="54" t="s">
        <v>17</v>
      </c>
      <c r="C16" s="54" t="s">
        <v>11</v>
      </c>
      <c r="D16" s="55"/>
      <c r="E16" s="54" t="s">
        <v>32</v>
      </c>
      <c r="F16" s="55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2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2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3" t="s">
        <v>142</v>
      </c>
      <c r="C22" s="114"/>
      <c r="D22" s="114"/>
      <c r="E22" s="114"/>
      <c r="F22" s="115"/>
      <c r="G22" s="1"/>
    </row>
    <row r="23" spans="1:7" ht="26.25" x14ac:dyDescent="0.25">
      <c r="A23" s="1"/>
      <c r="B23" s="54" t="s">
        <v>17</v>
      </c>
      <c r="C23" s="54" t="s">
        <v>11</v>
      </c>
      <c r="D23" s="55"/>
      <c r="E23" s="54" t="s">
        <v>32</v>
      </c>
      <c r="F23" s="55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2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2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3" t="s">
        <v>214</v>
      </c>
      <c r="C29" s="114"/>
      <c r="D29" s="114"/>
      <c r="E29" s="114"/>
      <c r="F29" s="115"/>
      <c r="G29" s="1"/>
    </row>
    <row r="30" spans="1:7" ht="26.25" x14ac:dyDescent="0.25">
      <c r="A30" s="1"/>
      <c r="B30" s="54" t="s">
        <v>17</v>
      </c>
      <c r="C30" s="54" t="s">
        <v>11</v>
      </c>
      <c r="D30" s="55"/>
      <c r="E30" s="54" t="s">
        <v>32</v>
      </c>
      <c r="F30" s="55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2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2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+D7LJ2JVHfu/k+J4YYdZLv9D2XmW1Iz6l7bXt01nNe55sDpweUfeqdBbzjPXAPAwbwDJ8Vy0OAMVd35yFIBfQ==" saltValue="22ndLNF+oPgCQ32BBzUYn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8" t="s">
        <v>164</v>
      </c>
      <c r="C3" s="98"/>
      <c r="D3" s="1"/>
    </row>
    <row r="4" spans="1:4" ht="25.5" customHeight="1" x14ac:dyDescent="0.25">
      <c r="A4" s="1"/>
      <c r="B4" s="98"/>
      <c r="C4" s="9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2" t="s">
        <v>14</v>
      </c>
      <c r="C8" s="20"/>
      <c r="D8" s="1"/>
    </row>
    <row r="9" spans="1:4" x14ac:dyDescent="0.25">
      <c r="A9" s="1"/>
      <c r="B9" s="64" t="s">
        <v>118</v>
      </c>
      <c r="C9" s="26">
        <v>1.2699999999999999E-2</v>
      </c>
      <c r="D9" s="1"/>
    </row>
    <row r="10" spans="1:4" x14ac:dyDescent="0.25">
      <c r="A10" s="1"/>
      <c r="B10" s="64" t="s">
        <v>22</v>
      </c>
      <c r="C10" s="26">
        <v>1.7500000000000002E-2</v>
      </c>
      <c r="D10" s="1"/>
    </row>
    <row r="11" spans="1:4" x14ac:dyDescent="0.25">
      <c r="A11" s="1"/>
      <c r="B11" s="64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1">
        <v>3.3E-3</v>
      </c>
      <c r="D14" s="1"/>
    </row>
    <row r="15" spans="1:4" x14ac:dyDescent="0.25">
      <c r="A15" s="1"/>
      <c r="B15" s="113"/>
      <c r="C15" s="115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2" t="s">
        <v>106</v>
      </c>
      <c r="C18" s="20"/>
      <c r="D18" s="1"/>
    </row>
    <row r="19" spans="1:4" x14ac:dyDescent="0.25">
      <c r="A19" s="1"/>
      <c r="B19" s="64" t="s">
        <v>120</v>
      </c>
      <c r="C19" s="23">
        <v>9.1000000000000004E-3</v>
      </c>
      <c r="D19" s="1"/>
    </row>
    <row r="20" spans="1:4" x14ac:dyDescent="0.25">
      <c r="A20" s="1"/>
      <c r="B20" s="64" t="s">
        <v>121</v>
      </c>
      <c r="C20" s="23">
        <v>1.77E-2</v>
      </c>
      <c r="D20" s="1"/>
    </row>
    <row r="21" spans="1:4" x14ac:dyDescent="0.25">
      <c r="A21" s="1"/>
      <c r="B21" s="64" t="s">
        <v>122</v>
      </c>
      <c r="C21" s="23">
        <v>8.6999999999999994E-3</v>
      </c>
      <c r="D21" s="1"/>
    </row>
    <row r="22" spans="1:4" x14ac:dyDescent="0.25">
      <c r="A22" s="1"/>
      <c r="B22" s="64" t="s">
        <v>123</v>
      </c>
      <c r="C22" s="35">
        <v>2.8400000000000002E-2</v>
      </c>
      <c r="D22" s="1"/>
    </row>
    <row r="23" spans="1:4" x14ac:dyDescent="0.25">
      <c r="A23" s="1"/>
      <c r="B23" s="64" t="s">
        <v>146</v>
      </c>
      <c r="C23" s="35">
        <v>2.75E-2</v>
      </c>
      <c r="D23" s="1"/>
    </row>
    <row r="24" spans="1:4" x14ac:dyDescent="0.25">
      <c r="A24" s="1"/>
      <c r="B24" s="64" t="s">
        <v>217</v>
      </c>
      <c r="C24" s="35">
        <v>1.4800000000000001E-2</v>
      </c>
      <c r="D24" s="1"/>
    </row>
    <row r="25" spans="1:4" x14ac:dyDescent="0.25">
      <c r="A25" s="1"/>
      <c r="B25" s="52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2" t="s">
        <v>107</v>
      </c>
      <c r="C28" s="20"/>
      <c r="D28" s="1"/>
    </row>
    <row r="29" spans="1:4" x14ac:dyDescent="0.25">
      <c r="A29" s="1"/>
      <c r="B29" s="64" t="s">
        <v>124</v>
      </c>
      <c r="C29" s="26">
        <v>0.02</v>
      </c>
      <c r="D29" s="1"/>
    </row>
    <row r="30" spans="1:4" x14ac:dyDescent="0.25">
      <c r="A30" s="1"/>
      <c r="B30" s="52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LnsPvhHrWJyMjLDJx61JxxHbdUnYlr04oGUX0k/WemGwiEUc2oz2SUMMEj1SNjbCV65qAb8hosR2o7UXo3LF2g==" saltValue="Mgz/PyEy8j9VXv9TkLtot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183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2" t="s">
        <v>13</v>
      </c>
      <c r="C8" s="53"/>
      <c r="D8" s="20"/>
      <c r="E8" s="1"/>
    </row>
    <row r="9" spans="1:5" x14ac:dyDescent="0.25">
      <c r="A9" s="1"/>
      <c r="B9" s="57" t="s">
        <v>24</v>
      </c>
      <c r="C9" s="7">
        <f>'Fane 3. Omkostninger i ØR2021'!E20</f>
        <v>9547850.7962215021</v>
      </c>
      <c r="D9" s="8" t="s">
        <v>3</v>
      </c>
      <c r="E9" s="1"/>
    </row>
    <row r="10" spans="1:5" x14ac:dyDescent="0.25">
      <c r="A10" s="1"/>
      <c r="B10" s="48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340419.97604503203</v>
      </c>
      <c r="D10" s="8" t="s">
        <v>3</v>
      </c>
      <c r="E10" s="1"/>
    </row>
    <row r="11" spans="1:5" x14ac:dyDescent="0.25">
      <c r="A11" s="1"/>
      <c r="B11" s="48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7108.2077070134928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139048.35030000002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2981.8076000000001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116952.47923497233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-3905.0871787946198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-82499.712898205791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-164904.28159497952</v>
      </c>
      <c r="D21" s="8" t="s">
        <v>3</v>
      </c>
      <c r="E21" s="1"/>
    </row>
    <row r="22" spans="1:5" ht="17.100000000000001" customHeight="1" x14ac:dyDescent="0.25">
      <c r="A22" s="1"/>
      <c r="B22" s="65" t="s">
        <v>20</v>
      </c>
      <c r="C22" s="10">
        <f>SUM(C9,C12:C21)</f>
        <v>9555524.3516844958</v>
      </c>
      <c r="D22" s="11" t="s">
        <v>3</v>
      </c>
      <c r="E22" s="1"/>
    </row>
    <row r="23" spans="1:5" ht="15" customHeight="1" x14ac:dyDescent="0.25">
      <c r="A23" s="1"/>
      <c r="B23" s="52" t="s">
        <v>12</v>
      </c>
      <c r="C23" s="53"/>
      <c r="D23" s="20"/>
      <c r="E23" s="1"/>
    </row>
    <row r="24" spans="1:5" ht="15" customHeight="1" x14ac:dyDescent="0.25">
      <c r="A24" s="1"/>
      <c r="B24" s="54" t="s">
        <v>12</v>
      </c>
      <c r="C24" s="10">
        <f>'Fane 6. Ikke-påvirkelige omk.'!C17</f>
        <v>5700888.4317487208</v>
      </c>
      <c r="D24" s="11" t="s">
        <v>3</v>
      </c>
      <c r="E24" s="1"/>
    </row>
    <row r="25" spans="1:5" ht="15" customHeight="1" x14ac:dyDescent="0.25">
      <c r="A25" s="1"/>
      <c r="B25" s="52" t="s">
        <v>89</v>
      </c>
      <c r="C25" s="53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5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3"/>
      <c r="D29" s="20"/>
      <c r="E29" s="1"/>
    </row>
    <row r="30" spans="1:5" x14ac:dyDescent="0.25">
      <c r="A30" s="1"/>
      <c r="B30" s="68" t="s">
        <v>162</v>
      </c>
      <c r="C30" s="10">
        <f>'Fane 7. Kontrol af ØR2020'!E30</f>
        <v>-1030176.6598982606</v>
      </c>
      <c r="D30" s="11" t="s">
        <v>3</v>
      </c>
      <c r="E30" s="1"/>
    </row>
    <row r="31" spans="1:5" x14ac:dyDescent="0.25">
      <c r="A31" s="1"/>
      <c r="B31" s="36" t="s">
        <v>224</v>
      </c>
      <c r="C31" s="53"/>
      <c r="D31" s="20"/>
      <c r="E31" s="1"/>
    </row>
    <row r="32" spans="1:5" x14ac:dyDescent="0.25">
      <c r="A32" s="1"/>
      <c r="B32" s="68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2" t="s">
        <v>30</v>
      </c>
      <c r="C33" s="31">
        <f>SUM(C22,C24,C28,C30,C32)</f>
        <v>14226236.123534957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CShNpBrYWaeuZbxQQjcYwZaNsNHkOhYhKmp/3BNVkN6QVTCIly33m9yKo/GANNk8J9mwGb75Hf+CdoRVa0l20A==" saltValue="tw72DOs4PypvxYPw1wWFd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184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2" t="s">
        <v>13</v>
      </c>
      <c r="C7" s="53"/>
      <c r="D7" s="20"/>
      <c r="E7" s="1"/>
    </row>
    <row r="8" spans="1:5" ht="15" customHeight="1" x14ac:dyDescent="0.25">
      <c r="A8" s="1"/>
      <c r="B8" s="57" t="s">
        <v>134</v>
      </c>
      <c r="C8" s="7">
        <f>'Fane 2.1. Økonomisk ramme 2022'!C22</f>
        <v>9555524.3516844958</v>
      </c>
      <c r="D8" s="8" t="s">
        <v>3</v>
      </c>
      <c r="E8" s="1"/>
    </row>
    <row r="9" spans="1:5" ht="15" customHeight="1" x14ac:dyDescent="0.2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2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25">
      <c r="A11" s="1"/>
      <c r="B11" s="48" t="s">
        <v>18</v>
      </c>
      <c r="C11" s="9">
        <f>SUM(C8:C10)*'Fane 12. Nøgletal'!C14</f>
        <v>31533.230360558835</v>
      </c>
      <c r="D11" s="8" t="s">
        <v>3</v>
      </c>
      <c r="E11" s="1"/>
    </row>
    <row r="12" spans="1:5" ht="15" customHeight="1" x14ac:dyDescent="0.25">
      <c r="A12" s="1"/>
      <c r="B12" s="48" t="s">
        <v>9</v>
      </c>
      <c r="C12" s="9">
        <f>-SUM(C8:C11)*'Fane 5. Individuelt eff. krav'!G10</f>
        <v>-3817.5722979722623</v>
      </c>
      <c r="D12" s="8" t="s">
        <v>3</v>
      </c>
      <c r="E12" s="1"/>
    </row>
    <row r="13" spans="1:5" ht="15" customHeight="1" x14ac:dyDescent="0.25">
      <c r="A13" s="1"/>
      <c r="B13" s="48" t="s">
        <v>25</v>
      </c>
      <c r="C13" s="9">
        <f>-'Fane 4.1. Gen. krav - drift'!G44</f>
        <v>-81116.522711754471</v>
      </c>
      <c r="D13" s="8" t="s">
        <v>3</v>
      </c>
      <c r="E13" s="1"/>
    </row>
    <row r="14" spans="1:5" ht="15" customHeight="1" x14ac:dyDescent="0.25">
      <c r="A14" s="1"/>
      <c r="B14" s="48" t="s">
        <v>26</v>
      </c>
      <c r="C14" s="9">
        <f>-'Fane 4.2. Gen. krav - anlæg'!G44</f>
        <v>-86613.233922495026</v>
      </c>
      <c r="D14" s="8" t="s">
        <v>3</v>
      </c>
      <c r="E14" s="1"/>
    </row>
    <row r="15" spans="1:5" ht="15" customHeight="1" x14ac:dyDescent="0.25">
      <c r="A15" s="1"/>
      <c r="B15" s="49" t="s">
        <v>20</v>
      </c>
      <c r="C15" s="10">
        <f>SUM(C8:C14)</f>
        <v>9415510.2531128339</v>
      </c>
      <c r="D15" s="11" t="s">
        <v>3</v>
      </c>
      <c r="E15" s="1"/>
    </row>
    <row r="16" spans="1:5" x14ac:dyDescent="0.25">
      <c r="A16" s="1"/>
      <c r="B16" s="52" t="s">
        <v>12</v>
      </c>
      <c r="C16" s="53"/>
      <c r="D16" s="20"/>
      <c r="E16" s="1"/>
    </row>
    <row r="17" spans="1:5" ht="15" customHeight="1" x14ac:dyDescent="0.25">
      <c r="A17" s="1"/>
      <c r="B17" s="54" t="s">
        <v>12</v>
      </c>
      <c r="C17" s="10">
        <f>'Fane 6. Ikke-påvirkelige omk.'!C17*(1+'Fane 12. Nøgletal'!C14)</f>
        <v>5719701.3635734925</v>
      </c>
      <c r="D17" s="11" t="s">
        <v>3</v>
      </c>
      <c r="E17" s="1"/>
    </row>
    <row r="18" spans="1:5" ht="15" customHeight="1" x14ac:dyDescent="0.25">
      <c r="A18" s="1"/>
      <c r="B18" s="52" t="s">
        <v>89</v>
      </c>
      <c r="C18" s="53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6" t="s">
        <v>161</v>
      </c>
      <c r="C22" s="53"/>
      <c r="D22" s="20"/>
      <c r="E22" s="1"/>
    </row>
    <row r="23" spans="1:5" ht="15" customHeight="1" x14ac:dyDescent="0.25">
      <c r="A23" s="1"/>
      <c r="B23" s="68" t="s">
        <v>162</v>
      </c>
      <c r="C23" s="10">
        <f>'Fane 7. Kontrol af ØR2020'!E37</f>
        <v>-102272.53456393955</v>
      </c>
      <c r="D23" s="11" t="s">
        <v>3</v>
      </c>
      <c r="E23" s="1"/>
    </row>
    <row r="24" spans="1:5" x14ac:dyDescent="0.25">
      <c r="A24" s="1"/>
      <c r="B24" s="36" t="s">
        <v>224</v>
      </c>
      <c r="C24" s="53"/>
      <c r="D24" s="20"/>
      <c r="E24" s="1"/>
    </row>
    <row r="25" spans="1:5" x14ac:dyDescent="0.25">
      <c r="A25" s="1"/>
      <c r="B25" s="68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2" t="s">
        <v>97</v>
      </c>
      <c r="C26" s="12">
        <f>SUM(C15,C17,C21,C23,C25)</f>
        <v>15032939.082122386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0V+vyHolYjdPdzGYEZuiGmpYLWFkj5qqbRAPJHUPkUOHNgAlWdPswH/1/g42IjCf8cY0mXgXQmDZS279N2RFtg==" saltValue="mA5Z+ULTYXpESKnYTl2z0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185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2" t="s">
        <v>13</v>
      </c>
      <c r="C7" s="53"/>
      <c r="D7" s="20"/>
      <c r="E7" s="1"/>
    </row>
    <row r="8" spans="1:5" ht="15" customHeight="1" x14ac:dyDescent="0.25">
      <c r="A8" s="1"/>
      <c r="B8" s="57" t="s">
        <v>135</v>
      </c>
      <c r="C8" s="7">
        <f>'Fane 2.2. Økonomisk ramme 2023'!C15</f>
        <v>9415510.2531128339</v>
      </c>
      <c r="D8" s="8" t="s">
        <v>3</v>
      </c>
      <c r="E8" s="1"/>
    </row>
    <row r="9" spans="1:5" ht="15" customHeight="1" x14ac:dyDescent="0.25">
      <c r="A9" s="1"/>
      <c r="B9" s="57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7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8" t="s">
        <v>18</v>
      </c>
      <c r="C11" s="9">
        <f>SUM(C8:C10)*'Fane 12. Nøgletal'!C14</f>
        <v>31071.183835272353</v>
      </c>
      <c r="D11" s="8" t="s">
        <v>3</v>
      </c>
      <c r="E11" s="1"/>
    </row>
    <row r="12" spans="1:5" ht="15" customHeight="1" x14ac:dyDescent="0.25">
      <c r="A12" s="1"/>
      <c r="B12" s="48" t="s">
        <v>9</v>
      </c>
      <c r="C12" s="9">
        <f>-SUM(C8:C11)*'Fane 5. Individuelt eff. krav'!G10</f>
        <v>-3761.6346095356766</v>
      </c>
      <c r="D12" s="8" t="s">
        <v>3</v>
      </c>
      <c r="E12" s="1"/>
    </row>
    <row r="13" spans="1:5" ht="15" customHeight="1" x14ac:dyDescent="0.25">
      <c r="A13" s="1"/>
      <c r="B13" s="48" t="s">
        <v>25</v>
      </c>
      <c r="C13" s="9">
        <f>-'Fane 4.1. Gen. krav - drift'!G50</f>
        <v>-79756.523091969197</v>
      </c>
      <c r="D13" s="8" t="s">
        <v>3</v>
      </c>
      <c r="E13" s="1"/>
    </row>
    <row r="14" spans="1:5" ht="15" customHeight="1" x14ac:dyDescent="0.25">
      <c r="A14" s="1"/>
      <c r="B14" s="48" t="s">
        <v>26</v>
      </c>
      <c r="C14" s="43">
        <f>-'Fane 4.2. Gen. krav - anlæg'!G54</f>
        <v>-85612.95154204157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SUM(C8:C14)</f>
        <v>9277450.3277045581</v>
      </c>
      <c r="D15" s="11" t="s">
        <v>3</v>
      </c>
      <c r="E15" s="1"/>
    </row>
    <row r="16" spans="1:5" x14ac:dyDescent="0.25">
      <c r="A16" s="1"/>
      <c r="B16" s="52" t="s">
        <v>12</v>
      </c>
      <c r="C16" s="53"/>
      <c r="D16" s="20"/>
      <c r="E16" s="1"/>
    </row>
    <row r="17" spans="1:5" ht="15" customHeight="1" x14ac:dyDescent="0.25">
      <c r="A17" s="1"/>
      <c r="B17" s="54" t="s">
        <v>12</v>
      </c>
      <c r="C17" s="10">
        <f>'Fane 6. Ikke-påvirkelige omk.'!C17*(1+'Fane 12. Nøgletal'!C14)^2</f>
        <v>5738576.3780732853</v>
      </c>
      <c r="D17" s="11" t="s">
        <v>3</v>
      </c>
      <c r="E17" s="1"/>
    </row>
    <row r="18" spans="1:5" ht="15" customHeight="1" x14ac:dyDescent="0.25">
      <c r="A18" s="1"/>
      <c r="B18" s="52" t="s">
        <v>89</v>
      </c>
      <c r="C18" s="53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2" t="s">
        <v>161</v>
      </c>
      <c r="C22" s="53"/>
      <c r="D22" s="20"/>
      <c r="E22" s="1"/>
    </row>
    <row r="23" spans="1:5" x14ac:dyDescent="0.25">
      <c r="A23" s="1"/>
      <c r="B23" s="54" t="s">
        <v>162</v>
      </c>
      <c r="C23" s="10">
        <f>'Fane 7. Kontrol af ØR2020'!E37</f>
        <v>-102272.53456393955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3"/>
      <c r="D24" s="20"/>
      <c r="E24" s="1"/>
    </row>
    <row r="25" spans="1:5" ht="15" customHeight="1" x14ac:dyDescent="0.25">
      <c r="A25" s="1"/>
      <c r="B25" s="68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2" t="s">
        <v>186</v>
      </c>
      <c r="C26" s="12">
        <f>SUM(C15,C17,C21,C23,C25)</f>
        <v>14913754.171213903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gMmr8/1wQCd+E0mGLRzMltwU+06p6P4tDQj7TuPPgwSj4YwlfSyFA6+FXa34Lzr+/aKcoldmN7BYB2ILRjC0dQ==" saltValue="CnT3QKXa1EVVCGbRkqv4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187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2" t="s">
        <v>13</v>
      </c>
      <c r="C7" s="53"/>
      <c r="D7" s="20"/>
      <c r="E7" s="1"/>
    </row>
    <row r="8" spans="1:5" ht="15" customHeight="1" x14ac:dyDescent="0.25">
      <c r="A8" s="1"/>
      <c r="B8" s="57" t="s">
        <v>188</v>
      </c>
      <c r="C8" s="7">
        <f>'Fane 2.3. Økonomisk ramme 2024'!C15</f>
        <v>9277450.3277045581</v>
      </c>
      <c r="D8" s="8" t="s">
        <v>3</v>
      </c>
      <c r="E8" s="1"/>
    </row>
    <row r="9" spans="1:5" ht="15" customHeight="1" x14ac:dyDescent="0.25">
      <c r="A9" s="1"/>
      <c r="B9" s="57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7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8" t="s">
        <v>18</v>
      </c>
      <c r="C11" s="9">
        <f>SUM(C8:C10)*'Fane 12. Nøgletal'!C14</f>
        <v>30615.586081425041</v>
      </c>
      <c r="D11" s="8" t="s">
        <v>3</v>
      </c>
      <c r="E11" s="1"/>
    </row>
    <row r="12" spans="1:5" ht="15" customHeight="1" x14ac:dyDescent="0.25">
      <c r="A12" s="1"/>
      <c r="B12" s="48" t="s">
        <v>9</v>
      </c>
      <c r="C12" s="9">
        <f>-SUM(C8:C11)*'Fane 5. Individuelt eff. krav'!G10</f>
        <v>-3706.4776419742016</v>
      </c>
      <c r="D12" s="8" t="s">
        <v>3</v>
      </c>
      <c r="E12" s="1"/>
    </row>
    <row r="13" spans="1:5" ht="15" customHeight="1" x14ac:dyDescent="0.25">
      <c r="A13" s="1"/>
      <c r="B13" s="48" t="s">
        <v>25</v>
      </c>
      <c r="C13" s="9">
        <f>-'Fane 4.1. Gen. krav - drift'!G56</f>
        <v>-78419.325225809254</v>
      </c>
      <c r="D13" s="8" t="s">
        <v>3</v>
      </c>
      <c r="E13" s="1"/>
    </row>
    <row r="14" spans="1:5" ht="15" customHeight="1" x14ac:dyDescent="0.25">
      <c r="A14" s="1"/>
      <c r="B14" s="48" t="s">
        <v>26</v>
      </c>
      <c r="C14" s="9">
        <f>-'Fane 4.2. Gen. krav - anlæg'!G60</f>
        <v>-84624.221262754785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SUM(C8:C14)</f>
        <v>9141315.8896554448</v>
      </c>
      <c r="D15" s="11" t="s">
        <v>3</v>
      </c>
      <c r="E15" s="1"/>
    </row>
    <row r="16" spans="1:5" x14ac:dyDescent="0.25">
      <c r="A16" s="1"/>
      <c r="B16" s="52" t="s">
        <v>12</v>
      </c>
      <c r="C16" s="53"/>
      <c r="D16" s="20"/>
      <c r="E16" s="1"/>
    </row>
    <row r="17" spans="1:5" ht="15" customHeight="1" x14ac:dyDescent="0.25">
      <c r="A17" s="1"/>
      <c r="B17" s="54" t="s">
        <v>12</v>
      </c>
      <c r="C17" s="10">
        <f>'Fane 6. Ikke-påvirkelige omk.'!C17*(1+'Fane 12. Nøgletal'!C14)^3</f>
        <v>5757513.6801209273</v>
      </c>
      <c r="D17" s="11" t="s">
        <v>3</v>
      </c>
      <c r="E17" s="1"/>
    </row>
    <row r="18" spans="1:5" ht="15" customHeight="1" x14ac:dyDescent="0.25">
      <c r="A18" s="1"/>
      <c r="B18" s="52" t="s">
        <v>89</v>
      </c>
      <c r="C18" s="53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2" t="s">
        <v>161</v>
      </c>
      <c r="C22" s="53"/>
      <c r="D22" s="20"/>
      <c r="E22" s="1"/>
    </row>
    <row r="23" spans="1:5" x14ac:dyDescent="0.25">
      <c r="A23" s="1"/>
      <c r="B23" s="54" t="s">
        <v>162</v>
      </c>
      <c r="C23" s="10">
        <f>'Fane 7. Kontrol af ØR2020'!E37</f>
        <v>-102272.53456393955</v>
      </c>
      <c r="D23" s="11" t="s">
        <v>3</v>
      </c>
      <c r="E23" s="1"/>
    </row>
    <row r="24" spans="1:5" x14ac:dyDescent="0.25">
      <c r="A24" s="1"/>
      <c r="B24" s="36" t="s">
        <v>224</v>
      </c>
      <c r="C24" s="53"/>
      <c r="D24" s="20"/>
      <c r="E24" s="1"/>
    </row>
    <row r="25" spans="1:5" x14ac:dyDescent="0.25">
      <c r="A25" s="1"/>
      <c r="B25" s="68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2" t="s">
        <v>189</v>
      </c>
      <c r="C26" s="12">
        <f>SUM(C15,C17,C21,C23,C25)</f>
        <v>14796557.035212431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ujwFo3EoD7jxbg1uPGqwsTyufv3IJ7ocwT4iVGGydVVIOeN6u4N3BUlTuLb+VqLUG3Hww53KaXC9TJYdgCs6Vg==" saltValue="7XdM4ndfN/yM45DxpnnD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8" t="s">
        <v>190</v>
      </c>
      <c r="C3" s="98"/>
      <c r="D3" s="98"/>
      <c r="E3" s="98"/>
      <c r="F3" s="98"/>
      <c r="G3" s="1"/>
    </row>
    <row r="4" spans="1:7" ht="29.25" customHeight="1" x14ac:dyDescent="0.25">
      <c r="A4" s="1"/>
      <c r="B4" s="98"/>
      <c r="C4" s="98"/>
      <c r="D4" s="98"/>
      <c r="E4" s="98"/>
      <c r="F4" s="9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2" t="s">
        <v>223</v>
      </c>
      <c r="C8" s="53"/>
      <c r="D8" s="53"/>
      <c r="E8" s="53"/>
      <c r="F8" s="20"/>
      <c r="G8" s="1"/>
    </row>
    <row r="9" spans="1:7" x14ac:dyDescent="0.25">
      <c r="A9" s="1"/>
      <c r="B9" s="99" t="s">
        <v>23</v>
      </c>
      <c r="C9" s="100"/>
      <c r="D9" s="101"/>
      <c r="E9" s="7">
        <v>9330929.4976090342</v>
      </c>
      <c r="F9" s="8" t="s">
        <v>3</v>
      </c>
      <c r="G9" s="1"/>
    </row>
    <row r="10" spans="1:7" ht="15" customHeight="1" x14ac:dyDescent="0.25">
      <c r="A10" s="1"/>
      <c r="B10" s="92" t="s">
        <v>40</v>
      </c>
      <c r="C10" s="93"/>
      <c r="D10" s="94"/>
      <c r="E10" s="9">
        <v>343320.02039999998</v>
      </c>
      <c r="F10" s="8" t="s">
        <v>3</v>
      </c>
      <c r="G10" s="1"/>
    </row>
    <row r="11" spans="1:7" ht="15" customHeight="1" x14ac:dyDescent="0.25">
      <c r="A11" s="1"/>
      <c r="B11" s="92" t="s">
        <v>41</v>
      </c>
      <c r="C11" s="93"/>
      <c r="D11" s="94"/>
      <c r="E11" s="9">
        <v>7224.0713999999998</v>
      </c>
      <c r="F11" s="8" t="s">
        <v>3</v>
      </c>
      <c r="G11" s="1"/>
    </row>
    <row r="12" spans="1:7" x14ac:dyDescent="0.25">
      <c r="A12" s="1"/>
      <c r="B12" s="92" t="s">
        <v>28</v>
      </c>
      <c r="C12" s="93"/>
      <c r="D12" s="94"/>
      <c r="E12" s="9">
        <v>0</v>
      </c>
      <c r="F12" s="8" t="s">
        <v>3</v>
      </c>
      <c r="G12" s="1"/>
    </row>
    <row r="13" spans="1:7" x14ac:dyDescent="0.25">
      <c r="A13" s="1"/>
      <c r="B13" s="92" t="s">
        <v>27</v>
      </c>
      <c r="C13" s="93"/>
      <c r="D13" s="94"/>
      <c r="E13" s="9">
        <v>0</v>
      </c>
      <c r="F13" s="8" t="s">
        <v>3</v>
      </c>
      <c r="G13" s="1"/>
    </row>
    <row r="14" spans="1:7" x14ac:dyDescent="0.25">
      <c r="A14" s="1"/>
      <c r="B14" s="92" t="s">
        <v>132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92" t="s">
        <v>133</v>
      </c>
      <c r="C15" s="93"/>
      <c r="D15" s="94"/>
      <c r="E15" s="9">
        <v>0</v>
      </c>
      <c r="F15" s="8" t="s">
        <v>3</v>
      </c>
      <c r="G15" s="1"/>
    </row>
    <row r="16" spans="1:7" x14ac:dyDescent="0.25">
      <c r="A16" s="1"/>
      <c r="B16" s="92" t="s">
        <v>18</v>
      </c>
      <c r="C16" s="93"/>
      <c r="D16" s="94"/>
      <c r="E16" s="9">
        <v>118113.97779079023</v>
      </c>
      <c r="F16" s="8" t="s">
        <v>3</v>
      </c>
      <c r="G16" s="1"/>
    </row>
    <row r="17" spans="1:7" x14ac:dyDescent="0.25">
      <c r="A17" s="1"/>
      <c r="B17" s="92" t="s">
        <v>9</v>
      </c>
      <c r="C17" s="93"/>
      <c r="D17" s="94"/>
      <c r="E17" s="9">
        <v>-3902.2018703798408</v>
      </c>
      <c r="F17" s="8" t="s">
        <v>3</v>
      </c>
      <c r="G17" s="1"/>
    </row>
    <row r="18" spans="1:7" x14ac:dyDescent="0.25">
      <c r="A18" s="1"/>
      <c r="B18" s="92" t="s">
        <v>25</v>
      </c>
      <c r="C18" s="93"/>
      <c r="D18" s="94"/>
      <c r="E18" s="9">
        <v>-80355.951978803496</v>
      </c>
      <c r="F18" s="8" t="s">
        <v>3</v>
      </c>
      <c r="G18" s="1"/>
    </row>
    <row r="19" spans="1:7" x14ac:dyDescent="0.25">
      <c r="A19" s="1"/>
      <c r="B19" s="92" t="s">
        <v>26</v>
      </c>
      <c r="C19" s="93"/>
      <c r="D19" s="94"/>
      <c r="E19" s="9">
        <v>-167478.61712913899</v>
      </c>
      <c r="F19" s="8" t="s">
        <v>3</v>
      </c>
      <c r="G19" s="1"/>
    </row>
    <row r="20" spans="1:7" x14ac:dyDescent="0.25">
      <c r="A20" s="1"/>
      <c r="B20" s="105" t="s">
        <v>20</v>
      </c>
      <c r="C20" s="106"/>
      <c r="D20" s="107"/>
      <c r="E20" s="10">
        <f>SUM(E9:E19)</f>
        <v>9547850.7962215021</v>
      </c>
      <c r="F20" s="11" t="s">
        <v>3</v>
      </c>
      <c r="G20" s="1"/>
    </row>
    <row r="21" spans="1:7" x14ac:dyDescent="0.25">
      <c r="A21" s="1"/>
      <c r="B21" s="52" t="s">
        <v>12</v>
      </c>
      <c r="C21" s="53"/>
      <c r="D21" s="53"/>
      <c r="E21" s="53"/>
      <c r="F21" s="20"/>
      <c r="G21" s="1"/>
    </row>
    <row r="22" spans="1:7" x14ac:dyDescent="0.25">
      <c r="A22" s="1"/>
      <c r="B22" s="95" t="s">
        <v>12</v>
      </c>
      <c r="C22" s="96"/>
      <c r="D22" s="97"/>
      <c r="E22" s="10">
        <v>6539354.0709562805</v>
      </c>
      <c r="F22" s="11" t="s">
        <v>3</v>
      </c>
      <c r="G22" s="1"/>
    </row>
    <row r="23" spans="1:7" ht="15" customHeight="1" x14ac:dyDescent="0.25">
      <c r="A23" s="1"/>
      <c r="B23" s="111" t="s">
        <v>89</v>
      </c>
      <c r="C23" s="112"/>
      <c r="D23" s="112"/>
      <c r="E23" s="53"/>
      <c r="F23" s="53"/>
      <c r="G23" s="1"/>
    </row>
    <row r="24" spans="1:7" ht="14.25" customHeight="1" x14ac:dyDescent="0.25">
      <c r="A24" s="1"/>
      <c r="B24" s="102" t="s">
        <v>85</v>
      </c>
      <c r="C24" s="103"/>
      <c r="D24" s="104"/>
      <c r="E24" s="9">
        <v>173539.10706804</v>
      </c>
      <c r="F24" s="8" t="s">
        <v>3</v>
      </c>
      <c r="G24" s="1"/>
    </row>
    <row r="25" spans="1:7" ht="14.25" customHeight="1" x14ac:dyDescent="0.25">
      <c r="A25" s="1"/>
      <c r="B25" s="102" t="s">
        <v>86</v>
      </c>
      <c r="C25" s="103"/>
      <c r="D25" s="104"/>
      <c r="E25" s="9">
        <v>0</v>
      </c>
      <c r="F25" s="8" t="s">
        <v>3</v>
      </c>
      <c r="G25" s="1"/>
    </row>
    <row r="26" spans="1:7" x14ac:dyDescent="0.25">
      <c r="A26" s="1"/>
      <c r="B26" s="108" t="s">
        <v>90</v>
      </c>
      <c r="C26" s="109"/>
      <c r="D26" s="109"/>
      <c r="E26" s="10">
        <v>169999.22154620106</v>
      </c>
      <c r="F26" s="11" t="s">
        <v>3</v>
      </c>
      <c r="G26" s="1"/>
    </row>
    <row r="27" spans="1:7" x14ac:dyDescent="0.25">
      <c r="A27" s="1"/>
      <c r="B27" s="52" t="s">
        <v>161</v>
      </c>
      <c r="C27" s="53"/>
      <c r="D27" s="53"/>
      <c r="E27" s="53"/>
      <c r="F27" s="20"/>
      <c r="G27" s="1"/>
    </row>
    <row r="28" spans="1:7" ht="15" customHeight="1" x14ac:dyDescent="0.25">
      <c r="A28" s="1"/>
      <c r="B28" s="108" t="s">
        <v>162</v>
      </c>
      <c r="C28" s="109"/>
      <c r="D28" s="110"/>
      <c r="E28" s="10">
        <v>-1030176.6598982606</v>
      </c>
      <c r="F28" s="11" t="s">
        <v>3</v>
      </c>
      <c r="G28" s="1"/>
    </row>
    <row r="29" spans="1:7" x14ac:dyDescent="0.25">
      <c r="A29" s="1"/>
      <c r="B29" s="52" t="s">
        <v>248</v>
      </c>
      <c r="C29" s="53"/>
      <c r="D29" s="53"/>
      <c r="E29" s="53"/>
      <c r="F29" s="20"/>
      <c r="G29" s="1"/>
    </row>
    <row r="30" spans="1:7" ht="15.6" customHeight="1" x14ac:dyDescent="0.25">
      <c r="A30" s="1"/>
      <c r="B30" s="95" t="s">
        <v>249</v>
      </c>
      <c r="C30" s="96"/>
      <c r="D30" s="97"/>
      <c r="E30" s="10">
        <v>0</v>
      </c>
      <c r="F30" s="11" t="s">
        <v>3</v>
      </c>
      <c r="G30" s="1"/>
    </row>
    <row r="31" spans="1:7" x14ac:dyDescent="0.25">
      <c r="A31" s="1"/>
      <c r="B31" s="52" t="s">
        <v>29</v>
      </c>
      <c r="C31" s="53"/>
      <c r="D31" s="53"/>
      <c r="E31" s="12">
        <f>E20+E22+E26+E28+E30</f>
        <v>15227027.428825723</v>
      </c>
      <c r="F31" s="13" t="s">
        <v>3</v>
      </c>
      <c r="G31" s="1"/>
    </row>
    <row r="32" spans="1:7" ht="27.75" customHeight="1" x14ac:dyDescent="0.25">
      <c r="A32" s="1"/>
      <c r="B32" s="102" t="s">
        <v>191</v>
      </c>
      <c r="C32" s="103"/>
      <c r="D32" s="103"/>
      <c r="E32" s="103"/>
      <c r="F32" s="10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UrXnzI97HT8L4z4vuIpo/rhcEuIEn47bfQ796Boy7VQ1CDE7A6eimcCLZtFoFmVwycH5AaYKNuXq/FSA5xmxg==" saltValue="33MHYX7ZLxz/b9tZgQDXBA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8" t="s">
        <v>115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8"/>
      <c r="C3" s="98"/>
      <c r="D3" s="98"/>
      <c r="E3" s="98"/>
      <c r="F3" s="98"/>
      <c r="G3" s="98"/>
      <c r="H3" s="98"/>
      <c r="I3" s="1"/>
    </row>
    <row r="4" spans="1:9" x14ac:dyDescent="0.25">
      <c r="A4" s="1"/>
      <c r="B4" s="113" t="s">
        <v>54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6" t="s">
        <v>43</v>
      </c>
      <c r="C5" s="117"/>
      <c r="D5" s="117"/>
      <c r="E5" s="117"/>
      <c r="F5" s="118"/>
      <c r="G5" s="24">
        <v>3694667.3391598254</v>
      </c>
      <c r="H5" s="14" t="s">
        <v>3</v>
      </c>
      <c r="I5" s="1"/>
    </row>
    <row r="6" spans="1:9" x14ac:dyDescent="0.25">
      <c r="A6" s="1"/>
      <c r="B6" s="116" t="s">
        <v>44</v>
      </c>
      <c r="C6" s="117"/>
      <c r="D6" s="117"/>
      <c r="E6" s="117"/>
      <c r="F6" s="118"/>
      <c r="G6" s="24">
        <f>G5*'Fane 12. Nøgletal'!C29</f>
        <v>73893.34678319651</v>
      </c>
      <c r="H6" s="14" t="s">
        <v>3</v>
      </c>
      <c r="I6" s="1"/>
    </row>
    <row r="7" spans="1:9" x14ac:dyDescent="0.25">
      <c r="A7" s="1"/>
      <c r="B7" s="52"/>
      <c r="C7" s="53"/>
      <c r="D7" s="53"/>
      <c r="E7" s="53"/>
      <c r="F7" s="53"/>
      <c r="G7" s="53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55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6" t="s">
        <v>45</v>
      </c>
      <c r="C10" s="117"/>
      <c r="D10" s="117"/>
      <c r="E10" s="117"/>
      <c r="F10" s="118"/>
      <c r="G10" s="24">
        <f>(G5-G6)*(1+'Fane 12. Nøgletal'!C9)</f>
        <v>3666757.8220798117</v>
      </c>
      <c r="H10" s="14" t="s">
        <v>3</v>
      </c>
      <c r="I10" s="1"/>
    </row>
    <row r="11" spans="1:9" x14ac:dyDescent="0.25">
      <c r="A11" s="1"/>
      <c r="B11" s="119" t="s">
        <v>46</v>
      </c>
      <c r="C11" s="120"/>
      <c r="D11" s="120"/>
      <c r="E11" s="120"/>
      <c r="F11" s="121"/>
      <c r="G11" s="42">
        <v>0</v>
      </c>
      <c r="H11" s="14" t="s">
        <v>3</v>
      </c>
      <c r="I11" s="1"/>
    </row>
    <row r="12" spans="1:9" x14ac:dyDescent="0.25">
      <c r="A12" s="1"/>
      <c r="B12" s="116" t="s">
        <v>47</v>
      </c>
      <c r="C12" s="117"/>
      <c r="D12" s="117"/>
      <c r="E12" s="117"/>
      <c r="F12" s="118"/>
      <c r="G12" s="24">
        <f>(G10+G11)*'Fane 12. Nøgletal'!C29</f>
        <v>73335.156441596235</v>
      </c>
      <c r="H12" s="14" t="s">
        <v>3</v>
      </c>
      <c r="I12" s="1"/>
    </row>
    <row r="13" spans="1:9" x14ac:dyDescent="0.25">
      <c r="A13" s="1"/>
      <c r="B13" s="52"/>
      <c r="C13" s="53"/>
      <c r="D13" s="53"/>
      <c r="E13" s="53"/>
      <c r="F13" s="53"/>
      <c r="G13" s="53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3" t="s">
        <v>56</v>
      </c>
      <c r="C15" s="114"/>
      <c r="D15" s="114"/>
      <c r="E15" s="114"/>
      <c r="F15" s="114"/>
      <c r="G15" s="114"/>
      <c r="H15" s="115"/>
      <c r="I15" s="1"/>
    </row>
    <row r="16" spans="1:9" x14ac:dyDescent="0.25">
      <c r="A16" s="1"/>
      <c r="B16" s="116" t="s">
        <v>48</v>
      </c>
      <c r="C16" s="117"/>
      <c r="D16" s="117"/>
      <c r="E16" s="117"/>
      <c r="F16" s="118"/>
      <c r="G16" s="24">
        <f>(G10+G11-G12)*(1+'Fane 12. Nøgletal'!C11)</f>
        <v>3654151.5086875008</v>
      </c>
      <c r="H16" s="14" t="s">
        <v>3</v>
      </c>
      <c r="I16" s="1"/>
    </row>
    <row r="17" spans="1:9" x14ac:dyDescent="0.25">
      <c r="A17" s="1"/>
      <c r="B17" s="116" t="s">
        <v>125</v>
      </c>
      <c r="C17" s="117"/>
      <c r="D17" s="117"/>
      <c r="E17" s="117"/>
      <c r="F17" s="118"/>
      <c r="G17" s="24">
        <v>-20864.781339149249</v>
      </c>
      <c r="H17" s="14" t="s">
        <v>3</v>
      </c>
      <c r="I17" s="1"/>
    </row>
    <row r="18" spans="1:9" x14ac:dyDescent="0.25">
      <c r="A18" s="1"/>
      <c r="B18" s="119" t="s">
        <v>49</v>
      </c>
      <c r="C18" s="120"/>
      <c r="D18" s="120"/>
      <c r="E18" s="120"/>
      <c r="F18" s="121"/>
      <c r="G18" s="42">
        <v>0</v>
      </c>
      <c r="H18" s="14" t="s">
        <v>3</v>
      </c>
      <c r="I18" s="1"/>
    </row>
    <row r="19" spans="1:9" x14ac:dyDescent="0.25">
      <c r="A19" s="1"/>
      <c r="B19" s="116" t="s">
        <v>50</v>
      </c>
      <c r="C19" s="117"/>
      <c r="D19" s="117"/>
      <c r="E19" s="117"/>
      <c r="F19" s="118"/>
      <c r="G19" s="24">
        <f>SUM(G16:G18)*'Fane 12. Nøgletal'!C29</f>
        <v>72665.734546967025</v>
      </c>
      <c r="H19" s="14" t="s">
        <v>3</v>
      </c>
      <c r="I19" s="1"/>
    </row>
    <row r="20" spans="1:9" x14ac:dyDescent="0.25">
      <c r="A20" s="1"/>
      <c r="B20" s="52"/>
      <c r="C20" s="53"/>
      <c r="D20" s="53"/>
      <c r="E20" s="53"/>
      <c r="F20" s="53"/>
      <c r="G20" s="53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57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6" t="s">
        <v>51</v>
      </c>
      <c r="C23" s="117"/>
      <c r="D23" s="117"/>
      <c r="E23" s="117"/>
      <c r="F23" s="118"/>
      <c r="G23" s="24">
        <f>(SUM(G16:G18)-G19)*(1+'Fane 12. Nøgletal'!C11)</f>
        <v>3620795.4875797275</v>
      </c>
      <c r="H23" s="14" t="s">
        <v>3</v>
      </c>
      <c r="I23" s="1"/>
    </row>
    <row r="24" spans="1:9" x14ac:dyDescent="0.25">
      <c r="A24" s="1"/>
      <c r="B24" s="119" t="s">
        <v>52</v>
      </c>
      <c r="C24" s="120"/>
      <c r="D24" s="120"/>
      <c r="E24" s="120"/>
      <c r="F24" s="121"/>
      <c r="G24" s="24">
        <v>79256.807372160009</v>
      </c>
      <c r="H24" s="14" t="s">
        <v>3</v>
      </c>
      <c r="I24" s="1"/>
    </row>
    <row r="25" spans="1:9" x14ac:dyDescent="0.25">
      <c r="A25" s="1"/>
      <c r="B25" s="116" t="s">
        <v>53</v>
      </c>
      <c r="C25" s="117"/>
      <c r="D25" s="117"/>
      <c r="E25" s="117"/>
      <c r="F25" s="118"/>
      <c r="G25" s="24">
        <f>(G23+G24)*'Fane 12. Nøgletal'!C29</f>
        <v>74001.045899037752</v>
      </c>
      <c r="H25" s="14" t="s">
        <v>3</v>
      </c>
      <c r="I25" s="1"/>
    </row>
    <row r="26" spans="1:9" x14ac:dyDescent="0.25">
      <c r="A26" s="1"/>
      <c r="B26" s="52"/>
      <c r="C26" s="53"/>
      <c r="D26" s="53"/>
      <c r="E26" s="53"/>
      <c r="F26" s="53"/>
      <c r="G26" s="53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3" t="s">
        <v>175</v>
      </c>
      <c r="C28" s="114"/>
      <c r="D28" s="114"/>
      <c r="E28" s="114"/>
      <c r="F28" s="114"/>
      <c r="G28" s="114"/>
      <c r="H28" s="115"/>
      <c r="I28" s="1"/>
    </row>
    <row r="29" spans="1:9" x14ac:dyDescent="0.25">
      <c r="A29" s="1"/>
      <c r="B29" s="116" t="s">
        <v>60</v>
      </c>
      <c r="C29" s="117"/>
      <c r="D29" s="117"/>
      <c r="E29" s="117"/>
      <c r="F29" s="118"/>
      <c r="G29" s="24">
        <f>(G23+G24-G25)*(1+'Fane 12. Nøgletal'!C13)</f>
        <v>3670289.0742912944</v>
      </c>
      <c r="H29" s="14" t="s">
        <v>3</v>
      </c>
      <c r="I29" s="1"/>
    </row>
    <row r="30" spans="1:9" x14ac:dyDescent="0.25">
      <c r="A30" s="1"/>
      <c r="B30" s="116" t="s">
        <v>147</v>
      </c>
      <c r="C30" s="117"/>
      <c r="D30" s="117"/>
      <c r="E30" s="117"/>
      <c r="F30" s="118"/>
      <c r="G30" s="24">
        <f>SUM('Fane 3. Omkostninger i ØR2021'!E10,'Fane 3. Omkostninger i ØR2021'!E12,'Fane 3. Omkostninger i ØR2021'!E14)*(1+'Fane 12. Nøgletal'!C13)</f>
        <v>347508.52464888</v>
      </c>
      <c r="H30" s="14" t="s">
        <v>3</v>
      </c>
      <c r="I30" s="1"/>
    </row>
    <row r="31" spans="1:9" x14ac:dyDescent="0.25">
      <c r="A31" s="1"/>
      <c r="B31" s="116" t="s">
        <v>159</v>
      </c>
      <c r="C31" s="117"/>
      <c r="D31" s="117"/>
      <c r="E31" s="117"/>
      <c r="F31" s="118"/>
      <c r="G31" s="24">
        <f>(G29+G30)*'Fane 12. Nøgletal'!C29</f>
        <v>80355.951978803496</v>
      </c>
      <c r="H31" s="14" t="s">
        <v>3</v>
      </c>
      <c r="I31" s="1"/>
    </row>
    <row r="32" spans="1:9" x14ac:dyDescent="0.25">
      <c r="A32" s="1"/>
      <c r="B32" s="52"/>
      <c r="C32" s="53"/>
      <c r="D32" s="53"/>
      <c r="E32" s="53"/>
      <c r="F32" s="53"/>
      <c r="G32" s="53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3" t="s">
        <v>176</v>
      </c>
      <c r="C34" s="114"/>
      <c r="D34" s="114"/>
      <c r="E34" s="114"/>
      <c r="F34" s="114"/>
      <c r="G34" s="114"/>
      <c r="H34" s="115"/>
      <c r="I34" s="1"/>
    </row>
    <row r="35" spans="1:9" x14ac:dyDescent="0.25">
      <c r="A35" s="1"/>
      <c r="B35" s="116" t="s">
        <v>80</v>
      </c>
      <c r="C35" s="117"/>
      <c r="D35" s="117"/>
      <c r="E35" s="117"/>
      <c r="F35" s="118"/>
      <c r="G35" s="24">
        <f>(G29+G30-G31)*(1+'Fane 12. Nøgletal'!C13)</f>
        <v>3985478.4350542994</v>
      </c>
      <c r="H35" s="14" t="s">
        <v>3</v>
      </c>
      <c r="I35" s="1"/>
    </row>
    <row r="36" spans="1:9" x14ac:dyDescent="0.25">
      <c r="A36" s="1"/>
      <c r="B36" s="37" t="s">
        <v>192</v>
      </c>
      <c r="C36" s="59"/>
      <c r="D36" s="59"/>
      <c r="E36" s="59"/>
      <c r="F36" s="60"/>
      <c r="G36" s="24">
        <f>SUM('Fane 2.1. Økonomisk ramme 2022'!C10)*(1+'Fane 12. Nøgletal'!C14)</f>
        <v>341543.36196598067</v>
      </c>
      <c r="H36" s="14" t="s">
        <v>3</v>
      </c>
      <c r="I36" s="1"/>
    </row>
    <row r="37" spans="1:9" x14ac:dyDescent="0.25">
      <c r="A37" s="1"/>
      <c r="B37" s="116" t="s">
        <v>221</v>
      </c>
      <c r="C37" s="117"/>
      <c r="D37" s="117"/>
      <c r="E37" s="117"/>
      <c r="F37" s="118"/>
      <c r="G37" s="24">
        <f>SUM('Fane 2.1. Økonomisk ramme 2022'!C12,'Fane 2.1. Økonomisk ramme 2022'!C14,'Fane 2.1. Økonomisk ramme 2022'!C16)*(1+'Fane 12. Nøgletal'!C14)</f>
        <v>139507.20985599002</v>
      </c>
      <c r="H37" s="14" t="s">
        <v>3</v>
      </c>
      <c r="I37" s="1"/>
    </row>
    <row r="38" spans="1:9" x14ac:dyDescent="0.25">
      <c r="A38" s="1"/>
      <c r="B38" s="116" t="s">
        <v>177</v>
      </c>
      <c r="C38" s="117"/>
      <c r="D38" s="117"/>
      <c r="E38" s="117"/>
      <c r="F38" s="118"/>
      <c r="G38" s="24">
        <f>(G35+G37)*'Fane 12. Nøgletal'!C29</f>
        <v>82499.712898205791</v>
      </c>
      <c r="H38" s="14" t="s">
        <v>3</v>
      </c>
      <c r="I38" s="1"/>
    </row>
    <row r="39" spans="1:9" x14ac:dyDescent="0.25">
      <c r="A39" s="1"/>
      <c r="B39" s="52"/>
      <c r="C39" s="53"/>
      <c r="D39" s="53"/>
      <c r="E39" s="53"/>
      <c r="F39" s="53"/>
      <c r="G39" s="53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3" t="s">
        <v>81</v>
      </c>
      <c r="C41" s="114"/>
      <c r="D41" s="114"/>
      <c r="E41" s="114"/>
      <c r="F41" s="114"/>
      <c r="G41" s="114"/>
      <c r="H41" s="115"/>
      <c r="I41" s="1"/>
    </row>
    <row r="42" spans="1:9" x14ac:dyDescent="0.25">
      <c r="A42" s="1"/>
      <c r="B42" s="116" t="s">
        <v>79</v>
      </c>
      <c r="C42" s="117"/>
      <c r="D42" s="117"/>
      <c r="E42" s="117"/>
      <c r="F42" s="118"/>
      <c r="G42" s="24">
        <f>(G35+G37-G38)*(1+'Fane 12. Nøgletal'!C14)</f>
        <v>4055826.1355877235</v>
      </c>
      <c r="H42" s="14" t="s">
        <v>3</v>
      </c>
      <c r="I42" s="1"/>
    </row>
    <row r="43" spans="1:9" x14ac:dyDescent="0.25">
      <c r="A43" s="1"/>
      <c r="B43" s="116" t="s">
        <v>92</v>
      </c>
      <c r="C43" s="117"/>
      <c r="D43" s="117"/>
      <c r="E43" s="117"/>
      <c r="F43" s="118"/>
      <c r="G43" s="42">
        <v>0</v>
      </c>
      <c r="H43" s="14" t="s">
        <v>3</v>
      </c>
      <c r="I43" s="1"/>
    </row>
    <row r="44" spans="1:9" x14ac:dyDescent="0.25">
      <c r="A44" s="1"/>
      <c r="B44" s="116" t="s">
        <v>61</v>
      </c>
      <c r="C44" s="117"/>
      <c r="D44" s="117"/>
      <c r="E44" s="117"/>
      <c r="F44" s="118"/>
      <c r="G44" s="24">
        <f>(G42+G43)*'Fane 12. Nøgletal'!C29</f>
        <v>81116.522711754471</v>
      </c>
      <c r="H44" s="14" t="s">
        <v>3</v>
      </c>
      <c r="I44" s="1"/>
    </row>
    <row r="45" spans="1:9" x14ac:dyDescent="0.25">
      <c r="A45" s="1"/>
      <c r="B45" s="52"/>
      <c r="C45" s="53"/>
      <c r="D45" s="53"/>
      <c r="E45" s="53"/>
      <c r="F45" s="53"/>
      <c r="G45" s="53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3" t="s">
        <v>148</v>
      </c>
      <c r="C47" s="114"/>
      <c r="D47" s="114"/>
      <c r="E47" s="114"/>
      <c r="F47" s="114"/>
      <c r="G47" s="114"/>
      <c r="H47" s="115"/>
      <c r="I47" s="1"/>
    </row>
    <row r="48" spans="1:9" x14ac:dyDescent="0.25">
      <c r="A48" s="1"/>
      <c r="B48" s="116" t="s">
        <v>149</v>
      </c>
      <c r="C48" s="117"/>
      <c r="D48" s="117"/>
      <c r="E48" s="117"/>
      <c r="F48" s="118"/>
      <c r="G48" s="24">
        <f>(G42+G43-G44)*(1+'Fane 12. Nøgletal'!C14)</f>
        <v>3987826.1545984601</v>
      </c>
      <c r="H48" s="14" t="s">
        <v>3</v>
      </c>
      <c r="I48" s="1"/>
    </row>
    <row r="49" spans="1:9" x14ac:dyDescent="0.25">
      <c r="A49" s="1"/>
      <c r="B49" s="116" t="s">
        <v>150</v>
      </c>
      <c r="C49" s="117"/>
      <c r="D49" s="117"/>
      <c r="E49" s="117"/>
      <c r="F49" s="118"/>
      <c r="G49" s="42">
        <v>0</v>
      </c>
      <c r="H49" s="14" t="s">
        <v>3</v>
      </c>
      <c r="I49" s="1"/>
    </row>
    <row r="50" spans="1:9" x14ac:dyDescent="0.25">
      <c r="A50" s="1"/>
      <c r="B50" s="116" t="s">
        <v>151</v>
      </c>
      <c r="C50" s="117"/>
      <c r="D50" s="117"/>
      <c r="E50" s="117"/>
      <c r="F50" s="118"/>
      <c r="G50" s="24">
        <f>(G48+G49)*'Fane 12. Nøgletal'!C29</f>
        <v>79756.523091969197</v>
      </c>
      <c r="H50" s="14" t="s">
        <v>3</v>
      </c>
      <c r="I50" s="1"/>
    </row>
    <row r="51" spans="1:9" x14ac:dyDescent="0.25">
      <c r="A51" s="1"/>
      <c r="B51" s="52"/>
      <c r="C51" s="53"/>
      <c r="D51" s="53"/>
      <c r="E51" s="53"/>
      <c r="F51" s="53"/>
      <c r="G51" s="53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3" t="s">
        <v>198</v>
      </c>
      <c r="C53" s="114"/>
      <c r="D53" s="114"/>
      <c r="E53" s="114"/>
      <c r="F53" s="114"/>
      <c r="G53" s="114"/>
      <c r="H53" s="115"/>
      <c r="I53" s="1"/>
    </row>
    <row r="54" spans="1:9" x14ac:dyDescent="0.25">
      <c r="A54" s="1"/>
      <c r="B54" s="116" t="s">
        <v>199</v>
      </c>
      <c r="C54" s="117"/>
      <c r="D54" s="117"/>
      <c r="E54" s="117"/>
      <c r="F54" s="118"/>
      <c r="G54" s="24">
        <f>(G48+G49-G50)*(1+'Fane 12. Nøgletal'!C14)</f>
        <v>3920966.2612904627</v>
      </c>
      <c r="H54" s="14" t="s">
        <v>3</v>
      </c>
      <c r="I54" s="1"/>
    </row>
    <row r="55" spans="1:9" x14ac:dyDescent="0.25">
      <c r="A55" s="1"/>
      <c r="B55" s="116" t="s">
        <v>200</v>
      </c>
      <c r="C55" s="117"/>
      <c r="D55" s="117"/>
      <c r="E55" s="117"/>
      <c r="F55" s="118"/>
      <c r="G55" s="42">
        <v>0</v>
      </c>
      <c r="H55" s="14" t="s">
        <v>3</v>
      </c>
      <c r="I55" s="1"/>
    </row>
    <row r="56" spans="1:9" x14ac:dyDescent="0.25">
      <c r="A56" s="1"/>
      <c r="B56" s="116" t="s">
        <v>201</v>
      </c>
      <c r="C56" s="117"/>
      <c r="D56" s="117"/>
      <c r="E56" s="117"/>
      <c r="F56" s="118"/>
      <c r="G56" s="24">
        <f>(G54+G55)*'Fane 12. Nøgletal'!C29</f>
        <v>78419.325225809254</v>
      </c>
      <c r="H56" s="14" t="s">
        <v>3</v>
      </c>
      <c r="I56" s="1"/>
    </row>
    <row r="57" spans="1:9" x14ac:dyDescent="0.25">
      <c r="A57" s="1"/>
      <c r="B57" s="52"/>
      <c r="C57" s="53"/>
      <c r="D57" s="53"/>
      <c r="E57" s="53"/>
      <c r="F57" s="53"/>
      <c r="G57" s="53"/>
      <c r="H57" s="20"/>
      <c r="I57" s="1"/>
    </row>
  </sheetData>
  <sheetProtection algorithmName="SHA-512" hashValue="EPf0+RledUHNKxTgjes3yyt7FW/JelwpDa0VyAYPjvZjhThMtFIdI4tePB+YlM2IpkKx3d4kqhi3gSzaBTTctw==" saltValue="7RGqZ8Qhsl0pdYozPZMwtg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2" t="s">
        <v>116</v>
      </c>
      <c r="C1" s="123"/>
      <c r="D1" s="123"/>
      <c r="E1" s="123"/>
      <c r="F1" s="123"/>
      <c r="G1" s="123"/>
      <c r="H1" s="123"/>
      <c r="I1" s="1"/>
    </row>
    <row r="2" spans="1:9" ht="19.899999999999999" customHeight="1" x14ac:dyDescent="0.25">
      <c r="A2" s="1"/>
      <c r="B2" s="123"/>
      <c r="C2" s="123"/>
      <c r="D2" s="123"/>
      <c r="E2" s="123"/>
      <c r="F2" s="123"/>
      <c r="G2" s="123"/>
      <c r="H2" s="123"/>
      <c r="I2" s="1"/>
    </row>
    <row r="3" spans="1:9" ht="15" customHeight="1" x14ac:dyDescent="0.25">
      <c r="A3" s="1"/>
      <c r="B3" s="124"/>
      <c r="C3" s="124"/>
      <c r="D3" s="124"/>
      <c r="E3" s="124"/>
      <c r="F3" s="124"/>
      <c r="G3" s="124"/>
      <c r="H3" s="124"/>
      <c r="I3" s="1"/>
    </row>
    <row r="4" spans="1:9" x14ac:dyDescent="0.25">
      <c r="A4" s="1"/>
      <c r="B4" s="113" t="s">
        <v>58</v>
      </c>
      <c r="C4" s="114"/>
      <c r="D4" s="114"/>
      <c r="E4" s="114"/>
      <c r="F4" s="114"/>
      <c r="G4" s="114"/>
      <c r="H4" s="115"/>
      <c r="I4" s="1"/>
    </row>
    <row r="5" spans="1:9" x14ac:dyDescent="0.25">
      <c r="A5" s="1"/>
      <c r="B5" s="116" t="s">
        <v>62</v>
      </c>
      <c r="C5" s="117"/>
      <c r="D5" s="117"/>
      <c r="E5" s="117"/>
      <c r="F5" s="118"/>
      <c r="G5" s="24">
        <v>5083638.7747754324</v>
      </c>
      <c r="H5" s="14" t="s">
        <v>3</v>
      </c>
      <c r="I5" s="1"/>
    </row>
    <row r="6" spans="1:9" x14ac:dyDescent="0.25">
      <c r="A6" s="1"/>
      <c r="B6" s="116" t="s">
        <v>59</v>
      </c>
      <c r="C6" s="117"/>
      <c r="D6" s="117"/>
      <c r="E6" s="117"/>
      <c r="F6" s="118"/>
      <c r="G6" s="24">
        <f>G5*'Fane 12. Nøgletal'!C19</f>
        <v>46261.11285045644</v>
      </c>
      <c r="H6" s="14" t="s">
        <v>3</v>
      </c>
      <c r="I6" s="1"/>
    </row>
    <row r="7" spans="1:9" x14ac:dyDescent="0.25">
      <c r="A7" s="1"/>
      <c r="B7" s="52"/>
      <c r="C7" s="53"/>
      <c r="D7" s="53"/>
      <c r="E7" s="53"/>
      <c r="F7" s="53"/>
      <c r="G7" s="53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3" t="s">
        <v>63</v>
      </c>
      <c r="C9" s="114"/>
      <c r="D9" s="114"/>
      <c r="E9" s="114"/>
      <c r="F9" s="114"/>
      <c r="G9" s="114"/>
      <c r="H9" s="115"/>
      <c r="I9" s="1"/>
    </row>
    <row r="10" spans="1:9" x14ac:dyDescent="0.25">
      <c r="A10" s="1"/>
      <c r="B10" s="116" t="s">
        <v>64</v>
      </c>
      <c r="C10" s="117"/>
      <c r="D10" s="117"/>
      <c r="E10" s="117"/>
      <c r="F10" s="118"/>
      <c r="G10" s="24">
        <f>(G5-G6)*(1+'Fane 12. Nøgletal'!C9)</f>
        <v>5101352.3582314225</v>
      </c>
      <c r="H10" s="14" t="s">
        <v>3</v>
      </c>
      <c r="I10" s="1"/>
    </row>
    <row r="11" spans="1:9" x14ac:dyDescent="0.25">
      <c r="A11" s="1"/>
      <c r="B11" s="119" t="s">
        <v>65</v>
      </c>
      <c r="C11" s="120"/>
      <c r="D11" s="120"/>
      <c r="E11" s="120"/>
      <c r="F11" s="121"/>
      <c r="G11" s="42">
        <v>0</v>
      </c>
      <c r="H11" s="14" t="s">
        <v>3</v>
      </c>
      <c r="I11" s="1"/>
    </row>
    <row r="12" spans="1:9" x14ac:dyDescent="0.25">
      <c r="A12" s="1"/>
      <c r="B12" s="116" t="s">
        <v>66</v>
      </c>
      <c r="C12" s="117"/>
      <c r="D12" s="117"/>
      <c r="E12" s="117"/>
      <c r="F12" s="118"/>
      <c r="G12" s="24">
        <f>G10*'Fane 12. Nøgletal'!C19+G11*'Fane 12. Nøgletal'!C20</f>
        <v>46422.306459905943</v>
      </c>
      <c r="H12" s="14" t="s">
        <v>3</v>
      </c>
      <c r="I12" s="1"/>
    </row>
    <row r="13" spans="1:9" x14ac:dyDescent="0.25">
      <c r="A13" s="1"/>
      <c r="B13" s="52"/>
      <c r="C13" s="53"/>
      <c r="D13" s="53"/>
      <c r="E13" s="53"/>
      <c r="F13" s="53"/>
      <c r="G13" s="53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3" t="s">
        <v>67</v>
      </c>
      <c r="C15" s="114"/>
      <c r="D15" s="114"/>
      <c r="E15" s="114"/>
      <c r="F15" s="114"/>
      <c r="G15" s="114"/>
      <c r="H15" s="115"/>
      <c r="I15" s="1"/>
    </row>
    <row r="16" spans="1:9" x14ac:dyDescent="0.25">
      <c r="A16" s="1"/>
      <c r="B16" s="116" t="s">
        <v>68</v>
      </c>
      <c r="C16" s="117"/>
      <c r="D16" s="117"/>
      <c r="E16" s="117"/>
      <c r="F16" s="118"/>
      <c r="G16" s="24">
        <f>(G10+G11-G12)*(1+'Fane 12. Nøgletal'!C11)</f>
        <v>5140358.3696464552</v>
      </c>
      <c r="H16" s="14" t="s">
        <v>3</v>
      </c>
      <c r="I16" s="1"/>
    </row>
    <row r="17" spans="1:9" x14ac:dyDescent="0.25">
      <c r="A17" s="1"/>
      <c r="B17" s="116" t="s">
        <v>126</v>
      </c>
      <c r="C17" s="117"/>
      <c r="D17" s="117"/>
      <c r="E17" s="117"/>
      <c r="F17" s="118"/>
      <c r="G17" s="24">
        <v>411279.4682196076</v>
      </c>
      <c r="H17" s="14" t="s">
        <v>3</v>
      </c>
      <c r="I17" s="1"/>
    </row>
    <row r="18" spans="1:9" x14ac:dyDescent="0.25">
      <c r="A18" s="1"/>
      <c r="B18" s="119" t="s">
        <v>69</v>
      </c>
      <c r="C18" s="120"/>
      <c r="D18" s="120"/>
      <c r="E18" s="120"/>
      <c r="F18" s="121"/>
      <c r="G18" s="42">
        <v>0</v>
      </c>
      <c r="H18" s="14" t="s">
        <v>3</v>
      </c>
      <c r="I18" s="1"/>
    </row>
    <row r="19" spans="1:9" x14ac:dyDescent="0.25">
      <c r="A19" s="1"/>
      <c r="B19" s="116" t="s">
        <v>70</v>
      </c>
      <c r="C19" s="117"/>
      <c r="D19" s="117"/>
      <c r="E19" s="117"/>
      <c r="F19" s="118"/>
      <c r="G19" s="24">
        <f>(G16+G17+G18)*'Fane 12. Nøgletal'!C21</f>
        <v>48299.24918943474</v>
      </c>
      <c r="H19" s="14" t="s">
        <v>3</v>
      </c>
      <c r="I19" s="1"/>
    </row>
    <row r="20" spans="1:9" x14ac:dyDescent="0.25">
      <c r="A20" s="1"/>
      <c r="B20" s="52"/>
      <c r="C20" s="53"/>
      <c r="D20" s="53"/>
      <c r="E20" s="53"/>
      <c r="F20" s="53"/>
      <c r="G20" s="53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3" t="s">
        <v>71</v>
      </c>
      <c r="C22" s="114"/>
      <c r="D22" s="114"/>
      <c r="E22" s="114"/>
      <c r="F22" s="114"/>
      <c r="G22" s="114"/>
      <c r="H22" s="115"/>
      <c r="I22" s="1"/>
    </row>
    <row r="23" spans="1:9" x14ac:dyDescent="0.25">
      <c r="A23" s="1"/>
      <c r="B23" s="116" t="s">
        <v>72</v>
      </c>
      <c r="C23" s="117"/>
      <c r="D23" s="117"/>
      <c r="E23" s="117"/>
      <c r="F23" s="118"/>
      <c r="G23" s="24">
        <f>(SUM(G16:G18)-G19)*(1+'Fane 12. Nøgletal'!C11)</f>
        <v>5596345.0108252624</v>
      </c>
      <c r="H23" s="14" t="s">
        <v>3</v>
      </c>
      <c r="I23" s="1"/>
    </row>
    <row r="24" spans="1:9" x14ac:dyDescent="0.25">
      <c r="A24" s="1"/>
      <c r="B24" s="119" t="s">
        <v>73</v>
      </c>
      <c r="C24" s="120"/>
      <c r="D24" s="120"/>
      <c r="E24" s="120"/>
      <c r="F24" s="121"/>
      <c r="G24" s="24">
        <v>475346.41453508462</v>
      </c>
      <c r="H24" s="14" t="s">
        <v>3</v>
      </c>
      <c r="I24" s="1"/>
    </row>
    <row r="25" spans="1:9" x14ac:dyDescent="0.25">
      <c r="A25" s="1"/>
      <c r="B25" s="116" t="s">
        <v>74</v>
      </c>
      <c r="C25" s="117"/>
      <c r="D25" s="117"/>
      <c r="E25" s="117"/>
      <c r="F25" s="118"/>
      <c r="G25" s="24">
        <f>G23*'Fane 12. Nøgletal'!C21+G24*'Fane 12. Nøgletal'!C22</f>
        <v>62188.039766976188</v>
      </c>
      <c r="H25" s="14" t="s">
        <v>3</v>
      </c>
      <c r="I25" s="1"/>
    </row>
    <row r="26" spans="1:9" x14ac:dyDescent="0.25">
      <c r="A26" s="1"/>
      <c r="B26" s="52"/>
      <c r="C26" s="53"/>
      <c r="D26" s="53"/>
      <c r="E26" s="53"/>
      <c r="F26" s="53"/>
      <c r="G26" s="53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3" t="s">
        <v>173</v>
      </c>
      <c r="C28" s="114"/>
      <c r="D28" s="114"/>
      <c r="E28" s="114"/>
      <c r="F28" s="114"/>
      <c r="G28" s="114"/>
      <c r="H28" s="115"/>
      <c r="I28" s="1"/>
    </row>
    <row r="29" spans="1:9" x14ac:dyDescent="0.25">
      <c r="A29" s="1"/>
      <c r="B29" s="116" t="s">
        <v>75</v>
      </c>
      <c r="C29" s="117"/>
      <c r="D29" s="117"/>
      <c r="E29" s="117"/>
      <c r="F29" s="118"/>
      <c r="G29" s="24">
        <f>(G23+G24-G25)*(1+'Fane 12. Nøgletal'!C13)</f>
        <v>6082819.32689761</v>
      </c>
      <c r="H29" s="14" t="s">
        <v>3</v>
      </c>
      <c r="I29" s="1"/>
    </row>
    <row r="30" spans="1:9" x14ac:dyDescent="0.25">
      <c r="A30" s="1"/>
      <c r="B30" s="116" t="s">
        <v>152</v>
      </c>
      <c r="C30" s="117"/>
      <c r="D30" s="117"/>
      <c r="E30" s="117"/>
      <c r="F30" s="118"/>
      <c r="G30" s="24">
        <v>7312.2050710799995</v>
      </c>
      <c r="H30" s="14" t="s">
        <v>3</v>
      </c>
      <c r="I30" s="1"/>
    </row>
    <row r="31" spans="1:9" x14ac:dyDescent="0.25">
      <c r="A31" s="1"/>
      <c r="B31" s="116" t="s">
        <v>174</v>
      </c>
      <c r="C31" s="117"/>
      <c r="D31" s="117"/>
      <c r="E31" s="117"/>
      <c r="F31" s="118"/>
      <c r="G31" s="24">
        <f>(G29+G30)*'Fane 12. Nøgletal'!C23</f>
        <v>167478.61712913896</v>
      </c>
      <c r="H31" s="14" t="s">
        <v>3</v>
      </c>
      <c r="I31" s="1"/>
    </row>
    <row r="32" spans="1:9" x14ac:dyDescent="0.25">
      <c r="A32" s="1"/>
      <c r="B32" s="52"/>
      <c r="C32" s="53"/>
      <c r="D32" s="53"/>
      <c r="E32" s="53"/>
      <c r="F32" s="53"/>
      <c r="G32" s="53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3" t="s">
        <v>178</v>
      </c>
      <c r="C34" s="114"/>
      <c r="D34" s="114"/>
      <c r="E34" s="114"/>
      <c r="F34" s="114"/>
      <c r="G34" s="114"/>
      <c r="H34" s="115"/>
      <c r="I34" s="1"/>
    </row>
    <row r="35" spans="1:9" x14ac:dyDescent="0.25">
      <c r="A35" s="1"/>
      <c r="B35" s="116" t="s">
        <v>78</v>
      </c>
      <c r="C35" s="117"/>
      <c r="D35" s="117"/>
      <c r="E35" s="117"/>
      <c r="F35" s="118"/>
      <c r="G35" s="24">
        <f>(G29+G30-G31)*(1+'Fane 12. Nøgletal'!C13)</f>
        <v>5994909.2804005938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7131.6647924466379</v>
      </c>
      <c r="H36" s="14" t="s">
        <v>3</v>
      </c>
      <c r="I36" s="38"/>
    </row>
    <row r="37" spans="1:9" x14ac:dyDescent="0.25">
      <c r="A37" s="1"/>
      <c r="B37" s="116" t="s">
        <v>193</v>
      </c>
      <c r="C37" s="117"/>
      <c r="D37" s="117"/>
      <c r="E37" s="117"/>
      <c r="F37" s="118"/>
      <c r="G37" s="24">
        <f>SUM('Fane 2.1. Økonomisk ramme 2022'!C13,'Fane 2.1. Økonomisk ramme 2022'!C15,'Fane 2.1. Økonomisk ramme 2022'!C17)*(1+'Fane 12. Nøgletal'!C14)</f>
        <v>2991.6475650800003</v>
      </c>
      <c r="H37" s="14" t="s">
        <v>3</v>
      </c>
      <c r="I37" s="1"/>
    </row>
    <row r="38" spans="1:9" x14ac:dyDescent="0.25">
      <c r="A38" s="1"/>
      <c r="B38" s="116" t="s">
        <v>179</v>
      </c>
      <c r="C38" s="117"/>
      <c r="D38" s="117"/>
      <c r="E38" s="117"/>
      <c r="F38" s="118"/>
      <c r="G38" s="24">
        <f>G35*'Fane 12. Nøgletal'!C23+G37*'Fane 12. Nøgletal'!C24</f>
        <v>164904.28159497952</v>
      </c>
      <c r="H38" s="14" t="s">
        <v>3</v>
      </c>
      <c r="I38" s="1"/>
    </row>
    <row r="39" spans="1:9" x14ac:dyDescent="0.25">
      <c r="A39" s="1"/>
      <c r="B39" s="52"/>
      <c r="C39" s="53"/>
      <c r="D39" s="53"/>
      <c r="E39" s="53"/>
      <c r="F39" s="53"/>
      <c r="G39" s="53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3" t="s">
        <v>82</v>
      </c>
      <c r="C41" s="114"/>
      <c r="D41" s="114"/>
      <c r="E41" s="114"/>
      <c r="F41" s="114"/>
      <c r="G41" s="114"/>
      <c r="H41" s="115"/>
      <c r="I41" s="1"/>
    </row>
    <row r="42" spans="1:9" x14ac:dyDescent="0.25">
      <c r="A42" s="1"/>
      <c r="B42" s="116" t="s">
        <v>77</v>
      </c>
      <c r="C42" s="117"/>
      <c r="D42" s="117"/>
      <c r="E42" s="117"/>
      <c r="F42" s="118"/>
      <c r="G42" s="24">
        <f>(G35+G37-G38)*(1+'Fane 12. Nøgletal'!C14)</f>
        <v>5852245.5353037175</v>
      </c>
      <c r="H42" s="14" t="s">
        <v>3</v>
      </c>
      <c r="I42" s="1"/>
    </row>
    <row r="43" spans="1:9" x14ac:dyDescent="0.25">
      <c r="A43" s="1"/>
      <c r="B43" s="116" t="s">
        <v>96</v>
      </c>
      <c r="C43" s="117"/>
      <c r="D43" s="117"/>
      <c r="E43" s="117"/>
      <c r="F43" s="118"/>
      <c r="G43" s="42">
        <v>0</v>
      </c>
      <c r="H43" s="14" t="s">
        <v>3</v>
      </c>
      <c r="I43" s="1"/>
    </row>
    <row r="44" spans="1:9" x14ac:dyDescent="0.25">
      <c r="A44" s="1"/>
      <c r="B44" s="116" t="s">
        <v>76</v>
      </c>
      <c r="C44" s="117"/>
      <c r="D44" s="117"/>
      <c r="E44" s="117"/>
      <c r="F44" s="118"/>
      <c r="G44" s="24">
        <f>(G42+G43)*'Fane 12. Nøgletal'!C24</f>
        <v>86613.233922495026</v>
      </c>
      <c r="H44" s="14" t="s">
        <v>3</v>
      </c>
      <c r="I44" s="1"/>
    </row>
    <row r="45" spans="1:9" x14ac:dyDescent="0.25">
      <c r="A45" s="1"/>
      <c r="B45" s="52"/>
      <c r="C45" s="53"/>
      <c r="D45" s="53"/>
      <c r="E45" s="53"/>
      <c r="F45" s="53"/>
      <c r="G45" s="53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3" t="s">
        <v>153</v>
      </c>
      <c r="C51" s="114"/>
      <c r="D51" s="114"/>
      <c r="E51" s="114"/>
      <c r="F51" s="114"/>
      <c r="G51" s="114"/>
      <c r="H51" s="115"/>
      <c r="I51" s="1"/>
    </row>
    <row r="52" spans="1:9" x14ac:dyDescent="0.25">
      <c r="A52" s="1"/>
      <c r="B52" s="116" t="s">
        <v>154</v>
      </c>
      <c r="C52" s="117"/>
      <c r="D52" s="117"/>
      <c r="E52" s="117"/>
      <c r="F52" s="118"/>
      <c r="G52" s="24">
        <f>(G42+G43-G44)*(1+'Fane 12. Nøgletal'!C14)</f>
        <v>5784658.8879757812</v>
      </c>
      <c r="H52" s="14" t="s">
        <v>3</v>
      </c>
      <c r="I52" s="1"/>
    </row>
    <row r="53" spans="1:9" x14ac:dyDescent="0.25">
      <c r="A53" s="1"/>
      <c r="B53" s="116" t="s">
        <v>155</v>
      </c>
      <c r="C53" s="117"/>
      <c r="D53" s="117"/>
      <c r="E53" s="117"/>
      <c r="F53" s="118"/>
      <c r="G53" s="42">
        <v>0</v>
      </c>
      <c r="H53" s="14" t="s">
        <v>3</v>
      </c>
      <c r="I53" s="1"/>
    </row>
    <row r="54" spans="1:9" x14ac:dyDescent="0.25">
      <c r="A54" s="1"/>
      <c r="B54" s="116" t="s">
        <v>156</v>
      </c>
      <c r="C54" s="117"/>
      <c r="D54" s="117"/>
      <c r="E54" s="117"/>
      <c r="F54" s="118"/>
      <c r="G54" s="24">
        <f>(G52+G53)*'Fane 12. Nøgletal'!C24</f>
        <v>85612.95154204157</v>
      </c>
      <c r="H54" s="14" t="s">
        <v>3</v>
      </c>
      <c r="I54" s="1"/>
    </row>
    <row r="55" spans="1:9" x14ac:dyDescent="0.25">
      <c r="A55" s="1"/>
      <c r="B55" s="52"/>
      <c r="C55" s="53"/>
      <c r="D55" s="53"/>
      <c r="E55" s="53"/>
      <c r="F55" s="53"/>
      <c r="G55" s="53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3" t="s">
        <v>194</v>
      </c>
      <c r="C57" s="114"/>
      <c r="D57" s="114"/>
      <c r="E57" s="114"/>
      <c r="F57" s="114"/>
      <c r="G57" s="114"/>
      <c r="H57" s="115"/>
      <c r="I57" s="1"/>
    </row>
    <row r="58" spans="1:9" x14ac:dyDescent="0.25">
      <c r="A58" s="1"/>
      <c r="B58" s="116" t="s">
        <v>195</v>
      </c>
      <c r="C58" s="117"/>
      <c r="D58" s="117"/>
      <c r="E58" s="117"/>
      <c r="F58" s="118"/>
      <c r="G58" s="24">
        <f>(G52+G53-G54)*(1+'Fane 12. Nøgletal'!C14)</f>
        <v>5717852.788023972</v>
      </c>
      <c r="H58" s="14" t="s">
        <v>3</v>
      </c>
      <c r="I58" s="1"/>
    </row>
    <row r="59" spans="1:9" x14ac:dyDescent="0.25">
      <c r="A59" s="1"/>
      <c r="B59" s="116" t="s">
        <v>196</v>
      </c>
      <c r="C59" s="117"/>
      <c r="D59" s="117"/>
      <c r="E59" s="117"/>
      <c r="F59" s="118"/>
      <c r="G59" s="42">
        <v>0</v>
      </c>
      <c r="H59" s="14" t="s">
        <v>3</v>
      </c>
      <c r="I59" s="1"/>
    </row>
    <row r="60" spans="1:9" x14ac:dyDescent="0.25">
      <c r="A60" s="1"/>
      <c r="B60" s="116" t="s">
        <v>197</v>
      </c>
      <c r="C60" s="117"/>
      <c r="D60" s="117"/>
      <c r="E60" s="117"/>
      <c r="F60" s="118"/>
      <c r="G60" s="24">
        <f>(G58+G59)*'Fane 12. Nøgletal'!C24</f>
        <v>84624.221262754785</v>
      </c>
      <c r="H60" s="14" t="s">
        <v>3</v>
      </c>
      <c r="I60" s="1"/>
    </row>
    <row r="61" spans="1:9" x14ac:dyDescent="0.25">
      <c r="A61" s="1"/>
      <c r="B61" s="52"/>
      <c r="C61" s="53"/>
      <c r="D61" s="53"/>
      <c r="E61" s="53"/>
      <c r="F61" s="53"/>
      <c r="G61" s="53"/>
      <c r="H61" s="20"/>
      <c r="I61" s="1"/>
    </row>
  </sheetData>
  <sheetProtection algorithmName="SHA-512" hashValue="MGpONBuvN47iRHM6ZzBZzjRc0/8UxJOCVVhAxbjmJfTpjE477N6FB+4g89GkQ869PvtN2+ZLyfJ9GOb4QXQUWg==" saltValue="4njy8FdEBLOEBa6ciBf9eg==" spinCount="100000" sheet="1" objects="1" scenarios="1"/>
  <mergeCells count="37">
    <mergeCell ref="B1:H3"/>
    <mergeCell ref="B52:F52"/>
    <mergeCell ref="B53:F53"/>
    <mergeCell ref="B54:F54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3" t="s">
        <v>9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16" t="s">
        <v>105</v>
      </c>
      <c r="C9" s="117"/>
      <c r="D9" s="117"/>
      <c r="E9" s="117"/>
      <c r="F9" s="118"/>
      <c r="G9" s="44">
        <v>1.6104335998960616E-2</v>
      </c>
      <c r="H9" s="14"/>
      <c r="I9" s="1"/>
    </row>
    <row r="10" spans="1:9" x14ac:dyDescent="0.25">
      <c r="A10" s="1"/>
      <c r="B10" s="116" t="s">
        <v>141</v>
      </c>
      <c r="C10" s="117"/>
      <c r="D10" s="117"/>
      <c r="E10" s="117"/>
      <c r="F10" s="118"/>
      <c r="G10" s="44">
        <v>3.9820062258955584E-4</v>
      </c>
      <c r="H10" s="14"/>
      <c r="I10" s="1"/>
    </row>
    <row r="11" spans="1:9" x14ac:dyDescent="0.25">
      <c r="A11" s="1"/>
      <c r="B11" s="52"/>
      <c r="C11" s="53"/>
      <c r="D11" s="53"/>
      <c r="E11" s="53"/>
      <c r="F11" s="53"/>
      <c r="G11" s="53"/>
      <c r="H11" s="20"/>
      <c r="I11" s="1"/>
    </row>
    <row r="12" spans="1:9" ht="14.25" customHeight="1" x14ac:dyDescent="0.25">
      <c r="A12" s="1"/>
      <c r="B12" s="125" t="s">
        <v>191</v>
      </c>
      <c r="C12" s="126"/>
      <c r="D12" s="126"/>
      <c r="E12" s="126"/>
      <c r="F12" s="126"/>
      <c r="G12" s="126"/>
      <c r="H12" s="127"/>
      <c r="I12" s="1"/>
    </row>
    <row r="13" spans="1:9" ht="12.75" customHeight="1" x14ac:dyDescent="0.25">
      <c r="A13" s="18"/>
      <c r="B13" s="128"/>
      <c r="C13" s="129"/>
      <c r="D13" s="129"/>
      <c r="E13" s="129"/>
      <c r="F13" s="129"/>
      <c r="G13" s="129"/>
      <c r="H13" s="130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0kk2YQPgM32wDY+tTK6gM4GozTJ9vJ53DZXXZ1Dz7gwKczW2svhrwWKaQtvlFM0gujBIA220j5m257H1OzruQ==" saltValue="tdUICOTz/egHC2OG0tOjJ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2021-10-12T11:36:08Z</dcterms:modified>
</cp:coreProperties>
</file>