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Novafos Spildevand Gentofte AS (S028)\ØR2022\"/>
    </mc:Choice>
  </mc:AlternateContent>
  <bookViews>
    <workbookView xWindow="3105" yWindow="1005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3" i="19"/>
  <c r="E18" i="11" l="1"/>
  <c r="F18" i="11"/>
  <c r="G18" i="11"/>
  <c r="E10" i="11"/>
  <c r="E11" i="11"/>
  <c r="E12" i="11"/>
  <c r="E13" i="11"/>
  <c r="E14" i="11"/>
  <c r="E15" i="11"/>
  <c r="E16" i="11"/>
  <c r="E17" i="11"/>
  <c r="E28" i="20" l="1"/>
  <c r="E22" i="20"/>
  <c r="E16" i="20"/>
  <c r="E10" i="20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C30" i="21"/>
  <c r="E24" i="2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C10" i="37"/>
  <c r="C14" i="37" s="1"/>
  <c r="C15" i="37" s="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4" i="19"/>
  <c r="C18" i="23" l="1"/>
  <c r="C18" i="22"/>
  <c r="C18" i="15"/>
  <c r="C15" i="2"/>
  <c r="C14" i="2"/>
  <c r="C22" i="2"/>
  <c r="C12" i="2"/>
  <c r="G39" i="30" s="1"/>
  <c r="G45" i="30" s="1"/>
  <c r="C13" i="2"/>
  <c r="G28" i="30" l="1"/>
  <c r="G32" i="30" l="1"/>
  <c r="E10" i="37"/>
  <c r="E14" i="37" s="1"/>
  <c r="E15" i="37" s="1"/>
  <c r="C11" i="2" l="1"/>
  <c r="G36" i="36" s="1"/>
  <c r="G34" i="30"/>
  <c r="E18" i="27" s="1"/>
  <c r="G42" i="36" l="1"/>
  <c r="G37" i="36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<sst xmlns="http://schemas.openxmlformats.org/spreadsheetml/2006/main" count="733" uniqueCount="296">
  <si>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</si>
  <si>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</si>
  <si>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</si>
  <si>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</si>
  <si>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</si>
  <si>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</si>
  <si>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</si>
  <si>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</si>
  <si>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</si>
  <si>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</si>
  <si>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</si>
  <si>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</si>
  <si>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</si>
  <si>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</si>
  <si>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</si>
  <si>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</si>
  <si>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</si>
  <si>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</si>
  <si>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</si>
  <si>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</si>
  <si>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</si>
  <si>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</si>
  <si>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</si>
  <si>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</si>
  <si>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</si>
  <si>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</si>
  <si>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</si>
  <si>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</si>
  <si>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</si>
  <si>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</si>
  <si>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</si>
  <si>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</si>
  <si>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</si>
  <si>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</si>
  <si>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</si>
  <si>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</si>
  <si>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</si>
  <si>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</si>
  <si>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</si>
  <si>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</si>
  <si>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</si>
  <si>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</si>
  <si>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</si>
  <si>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</si>
  <si>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</si>
  <si>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</si>
  <si>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</si>
  <si>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</si>
  <si>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</si>
  <si>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</si>
  <si>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</si>
  <si>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</si>
  <si>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</si>
  <si>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</si>
  <si>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</si>
  <si>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</si>
  <si>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</si>
  <si>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</si>
  <si>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</si>
  <si>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</si>
  <si>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</si>
  <si>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</si>
  <si>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</si>
  <si>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</si>
  <si>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</si>
  <si>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</si>
  <si>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</si>
  <si>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</si>
  <si>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</si>
  <si>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</si>
  <si>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</si>
  <si>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</si>
  <si>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</si>
  <si>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</si>
  <si>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</si>
  <si>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</si>
  <si>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</si>
  <si>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</si>
  <si>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</si>
  <si>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</si>
  <si>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</si>
  <si>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</si>
  <si>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</si>
  <si>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</si>
  <si>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</si>
  <si>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</si>
  <si>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</si>
  <si>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</si>
  <si>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</si>
  <si>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</si>
  <si>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</si>
  <si>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</si>
  <si>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</si>
  <si>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</si>
  <si>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</si>
  <si>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</si>
  <si>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</si>
  <si>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</si>
  <si>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</si>
  <si>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</si>
  <si>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</si>
  <si>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</si>
  <si>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</si>
  <si>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</si>
  <si>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</si>
  <si>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</si>
  <si>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</si>
  <si>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</si>
  <si>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</si>
  <si>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</si>
  <si>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</si>
  <si>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</si>
  <si>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</si>
  <si>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</si>
  <si>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</si>
  <si>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</si>
  <si>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</si>
  <si>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</si>
  <si>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</si>
  <si>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</si>
  <si>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</si>
  <si>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</si>
  <si>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</si>
  <si>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</si>
  <si>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</si>
  <si>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</si>
  <si>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</si>
  <si>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</si>
  <si>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</si>
  <si>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</si>
  <si>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</si>
  <si>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</si>
  <si>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</si>
  <si>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</si>
  <si>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</si>
  <si>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</si>
  <si>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</si>
  <si>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</si>
  <si>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</si>
  <si>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</si>
  <si>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</si>
  <si>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</si>
  <si>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</si>
  <si>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</si>
  <si>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</si>
  <si>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</si>
  <si>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</si>
  <si>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</si>
  <si>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</si>
  <si>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</si>
  <si>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</si>
  <si>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</si>
  <si>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</si>
  <si>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</si>
  <si>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</si>
  <si>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</si>
  <si>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</si>
  <si>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</si>
  <si>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</si>
  <si>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</si>
  <si>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</si>
  <si>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</si>
  <si>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</si>
  <si>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</si>
  <si>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</si>
  <si>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</si>
  <si>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</si>
  <si>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</si>
  <si>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</si>
  <si>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</si>
  <si>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</si>
  <si>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</si>
  <si>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</si>
  <si>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</si>
  <si>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</si>
  <si>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</si>
  <si>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</si>
  <si>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</si>
  <si>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</si>
  <si>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</si>
  <si>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</si>
  <si>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</si>
  <si>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</si>
  <si>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</si>
  <si>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</si>
  <si>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</si>
  <si>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</si>
  <si>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</si>
  <si>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</si>
  <si>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</si>
  <si>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</si>
  <si>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</si>
  <si>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</si>
  <si>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</si>
  <si>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</si>
  <si>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</si>
  <si>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</si>
  <si>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</si>
  <si>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</si>
  <si>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</si>
  <si>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</si>
  <si>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</si>
  <si>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</si>
  <si>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</si>
  <si>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</si>
  <si>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</si>
  <si>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</si>
  <si>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</si>
  <si>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</si>
  <si>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</si>
  <si>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</si>
  <si>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</si>
  <si>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</si>
  <si>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</si>
  <si>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</si>
  <si>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</si>
  <si>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</si>
  <si>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</si>
  <si>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</si>
  <si>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</si>
  <si>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</si>
  <si>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</si>
  <si>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</si>
  <si>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</si>
  <si>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</si>
  <si>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</si>
  <si>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</si>
  <si>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</si>
  <si>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</si>
  <si>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</si>
  <si>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</si>
  <si>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</si>
  <si>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</si>
  <si>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</si>
  <si>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</si>
  <si>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</si>
  <si>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</si>
  <si>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</si>
  <si>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</si>
  <si>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</si>
  <si>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</si>
  <si>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</si>
  <si>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</si>
  <si>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</si>
  <si>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</si>
  <si>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</si>
  <si>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</si>
  <si>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</si>
  <si>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</si>
  <si>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</si>
  <si>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</si>
  <si>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</si>
  <si>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</si>
  <si>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</si>
  <si>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</si>
  <si>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</si>
  <si>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</si>
  <si>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</si>
  <si>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</si>
  <si>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</si>
  <si>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</si>
  <si>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Pumpeinstallation Miljøklasse A (300-600 l/s) - SRO</t>
  </si>
  <si>
    <t>Pumpeinstallation Miljøklasse A (600-1.000 l/s) - SRO</t>
  </si>
  <si>
    <t>Ø 200 mm &lt; Ledningsnet ≤ Ø 500 mm</t>
  </si>
  <si>
    <t>Ø 500 mm &lt; Ledningsnet ≤ Ø 800 mm</t>
  </si>
  <si>
    <t>Overbygning</t>
  </si>
  <si>
    <t>Kælder</t>
  </si>
  <si>
    <t>Indløb med riste, Mek/EL</t>
  </si>
  <si>
    <t>10</t>
  </si>
  <si>
    <t>75</t>
  </si>
  <si>
    <t>20</t>
  </si>
  <si>
    <t>Ingen tilknyttet virksomhed</t>
  </si>
  <si>
    <t>Afgift til Forsyningssekretariatet</t>
  </si>
  <si>
    <t>Køb af produkter og ydelser fra andre vandselskaber reguleret af vandsektorloven</t>
  </si>
  <si>
    <t>Tjenestemandspensioner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</si>
  <si>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</si>
  <si>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</si>
  <si>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</si>
  <si>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</si>
  <si>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</si>
  <si>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</si>
  <si>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</si>
  <si>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</si>
  <si>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</si>
  <si>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</si>
  <si>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</si>
  <si>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</si>
  <si>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</si>
  <si>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Separatkloakering og min. af oversvømmelser</t>
  </si>
  <si>
    <t>Omlægning - Strandvejen 248B</t>
  </si>
  <si>
    <t>Byggemodning og nye stik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</si>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</sst>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0" fillId="2" borderId="0" xfId="0" applyNumberFormat="1" applyFill="1" applyProtection="1"/>
    <xf numFmtId="3" fontId="8" fillId="4" borderId="2" xfId="0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8" t="s">
        <v>294</v>
      </c>
      <c r="E8" s="88"/>
      <c r="F8" s="88"/>
      <c r="G8" s="88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7" t="s">
        <v>5</v>
      </c>
      <c r="E11" s="87"/>
      <c r="F11" s="87"/>
      <c r="G11" s="87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245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17</v>
      </c>
      <c r="D14" s="80" t="s">
        <v>246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37</v>
      </c>
      <c r="D15" s="80" t="s">
        <v>160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38</v>
      </c>
      <c r="D16" s="80" t="s">
        <v>247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144</v>
      </c>
      <c r="D17" s="80" t="s">
        <v>248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124</v>
      </c>
      <c r="D18" s="77" t="s">
        <v>110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125</v>
      </c>
      <c r="D19" s="77" t="s">
        <v>111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7</v>
      </c>
      <c r="D20" s="77" t="s">
        <v>10</v>
      </c>
      <c r="E20" s="78"/>
      <c r="F20" s="78"/>
      <c r="G20" s="79"/>
      <c r="H20" s="1"/>
      <c r="I20" s="1"/>
    </row>
    <row r="21" spans="1:9" x14ac:dyDescent="0.25">
      <c r="A21" s="1"/>
      <c r="B21" s="1"/>
      <c r="C21" s="6" t="s">
        <v>126</v>
      </c>
      <c r="D21" s="84" t="s">
        <v>13</v>
      </c>
      <c r="E21" s="85"/>
      <c r="F21" s="85"/>
      <c r="G21" s="86"/>
      <c r="H21" s="1"/>
      <c r="I21" s="1"/>
    </row>
    <row r="22" spans="1:9" x14ac:dyDescent="0.25">
      <c r="A22" s="1"/>
      <c r="B22" s="1"/>
      <c r="C22" s="6" t="s">
        <v>91</v>
      </c>
      <c r="D22" s="71" t="s">
        <v>249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195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9</v>
      </c>
      <c r="D24" s="71" t="s">
        <v>39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127</v>
      </c>
      <c r="D25" s="71" t="s">
        <v>92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128</v>
      </c>
      <c r="D26" s="71" t="s">
        <v>93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129</v>
      </c>
      <c r="D27" s="71" t="s">
        <v>94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16</v>
      </c>
      <c r="D28" s="71" t="s">
        <v>161</v>
      </c>
      <c r="E28" s="72"/>
      <c r="F28" s="72"/>
      <c r="G28" s="73"/>
      <c r="H28" s="1"/>
      <c r="I28" s="1"/>
    </row>
    <row r="29" spans="1:9" x14ac:dyDescent="0.25">
      <c r="A29" s="1"/>
      <c r="B29" s="1"/>
      <c r="C29" s="6" t="s">
        <v>41</v>
      </c>
      <c r="D29" s="71" t="s">
        <v>40</v>
      </c>
      <c r="E29" s="72"/>
      <c r="F29" s="72"/>
      <c r="G29" s="73"/>
      <c r="H29" s="1"/>
      <c r="I29" s="1"/>
    </row>
    <row r="30" spans="1:9" x14ac:dyDescent="0.25">
      <c r="A30" s="1"/>
      <c r="B30" s="1"/>
      <c r="C30" s="6" t="s">
        <v>42</v>
      </c>
      <c r="D30" s="74" t="s">
        <v>123</v>
      </c>
      <c r="E30" s="75"/>
      <c r="F30" s="75"/>
      <c r="G30" s="7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+iXa2o8Nuz/eyHf0aXSLzmR0m9glqGZrYMAZF/r029hEdVeu/FCHL3FYT9r6/qaQfEMVSunURFHmOnOW2X75A==" saltValue="AueUIKFNfbVfe2WEC4VruA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132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1" t="s">
        <v>208</v>
      </c>
      <c r="C8" s="102"/>
      <c r="D8" s="103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x14ac:dyDescent="0.25">
      <c r="A10" s="1"/>
      <c r="B10" s="67" t="s">
        <v>272</v>
      </c>
      <c r="C10" s="9">
        <v>112770</v>
      </c>
      <c r="D10" s="14" t="s">
        <v>3</v>
      </c>
      <c r="E10" s="1"/>
      <c r="F10" s="1"/>
    </row>
    <row r="11" spans="1:6" x14ac:dyDescent="0.25">
      <c r="A11" s="1"/>
      <c r="B11" s="67" t="s">
        <v>273</v>
      </c>
      <c r="C11" s="9">
        <v>28157966</v>
      </c>
      <c r="D11" s="14" t="s">
        <v>3</v>
      </c>
      <c r="E11" s="1"/>
      <c r="F11" s="1"/>
    </row>
    <row r="12" spans="1:6" x14ac:dyDescent="0.25">
      <c r="A12" s="1"/>
      <c r="B12" s="67" t="s">
        <v>274</v>
      </c>
      <c r="C12" s="9">
        <v>309018</v>
      </c>
      <c r="D12" s="14" t="s">
        <v>3</v>
      </c>
      <c r="E12" s="1"/>
      <c r="F12" s="1"/>
    </row>
    <row r="13" spans="1:6" x14ac:dyDescent="0.25">
      <c r="A13" s="1"/>
      <c r="B13" s="38" t="s">
        <v>209</v>
      </c>
      <c r="C13" s="12">
        <f>SUM(C10:C12)</f>
        <v>28579754</v>
      </c>
      <c r="D13" s="13" t="s">
        <v>3</v>
      </c>
      <c r="E13" s="1"/>
      <c r="F13" s="1"/>
    </row>
    <row r="14" spans="1:6" x14ac:dyDescent="0.25">
      <c r="A14" s="1"/>
      <c r="B14" s="38" t="s">
        <v>210</v>
      </c>
      <c r="C14" s="12">
        <f>C13*(1+'Fane 14. Nøgletal'!C14)^2</f>
        <v>28768691.609921064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01" t="s">
        <v>142</v>
      </c>
      <c r="C17" s="102"/>
      <c r="D17" s="103"/>
      <c r="E17" s="1"/>
      <c r="F17" s="1"/>
    </row>
    <row r="18" spans="1:6" x14ac:dyDescent="0.25">
      <c r="A18" s="1"/>
      <c r="B18" s="67" t="s">
        <v>116</v>
      </c>
      <c r="C18" s="9">
        <v>5875007</v>
      </c>
      <c r="D18" s="14" t="s">
        <v>3</v>
      </c>
      <c r="E18" s="1"/>
      <c r="F18" s="1"/>
    </row>
    <row r="19" spans="1:6" x14ac:dyDescent="0.25">
      <c r="A19" s="1"/>
      <c r="B19" s="67" t="s">
        <v>117</v>
      </c>
      <c r="C19" s="9">
        <v>5875724</v>
      </c>
      <c r="D19" s="14" t="s">
        <v>3</v>
      </c>
      <c r="E19" s="1"/>
      <c r="F19" s="1"/>
    </row>
    <row r="20" spans="1:6" x14ac:dyDescent="0.25">
      <c r="A20" s="1"/>
      <c r="B20" s="67" t="s">
        <v>154</v>
      </c>
      <c r="C20" s="9">
        <v>5876455</v>
      </c>
      <c r="D20" s="14" t="s">
        <v>3</v>
      </c>
      <c r="E20" s="1"/>
      <c r="F20" s="1"/>
    </row>
    <row r="21" spans="1:6" x14ac:dyDescent="0.25">
      <c r="A21" s="1"/>
      <c r="B21" s="67" t="s">
        <v>211</v>
      </c>
      <c r="C21" s="9">
        <v>5957201</v>
      </c>
      <c r="D21" s="14" t="s">
        <v>3</v>
      </c>
      <c r="E21" s="1"/>
      <c r="F21" s="1"/>
    </row>
    <row r="22" spans="1:6" x14ac:dyDescent="0.25">
      <c r="A22" s="1"/>
      <c r="B22" s="101"/>
      <c r="C22" s="102"/>
      <c r="D22" s="103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01" t="s">
        <v>115</v>
      </c>
      <c r="C25" s="102"/>
      <c r="D25" s="103"/>
      <c r="E25" s="1"/>
      <c r="F25" s="1"/>
    </row>
    <row r="26" spans="1:6" x14ac:dyDescent="0.25">
      <c r="A26" s="1"/>
      <c r="B26" s="67" t="s">
        <v>116</v>
      </c>
      <c r="C26" s="9">
        <v>8884473</v>
      </c>
      <c r="D26" s="14" t="s">
        <v>3</v>
      </c>
      <c r="E26" s="1"/>
      <c r="F26" s="1"/>
    </row>
    <row r="27" spans="1:6" x14ac:dyDescent="0.25">
      <c r="A27" s="1"/>
      <c r="B27" s="67" t="s">
        <v>117</v>
      </c>
      <c r="C27" s="9">
        <v>8884474</v>
      </c>
      <c r="D27" s="14" t="s">
        <v>3</v>
      </c>
      <c r="E27" s="1"/>
      <c r="F27" s="1"/>
    </row>
    <row r="28" spans="1:6" x14ac:dyDescent="0.25">
      <c r="A28" s="1"/>
      <c r="B28" s="67" t="s">
        <v>154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7" t="s">
        <v>211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101"/>
      <c r="C30" s="102"/>
      <c r="D30" s="103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6Ka+pdvkwD3HssL7KhUhut5PavnzbSyyT8TBfXNPkmeHEeNu21PLDSDG31HLdXzvYnwQr7RgDeT8FiSMY4iphg==" saltValue="tYldLdT6UbZx1G7CV/CCrg==" spinCount="100000" sheet="1" objects="1" scenarios="1"/>
  <mergeCells count="6">
    <mergeCell ref="B30:D30"/>
    <mergeCell ref="B3:D4"/>
    <mergeCell ref="B8:D8"/>
    <mergeCell ref="B17:D17"/>
    <mergeCell ref="B25:D25"/>
    <mergeCell ref="B22:D22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H43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8" width="9.85546875" style="2" bestFit="1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212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ht="15" customHeight="1" x14ac:dyDescent="0.25">
      <c r="A5" s="1"/>
      <c r="B5" s="63"/>
      <c r="C5" s="63"/>
      <c r="D5" s="63"/>
      <c r="E5" s="63"/>
      <c r="F5" s="63"/>
      <c r="G5" s="1"/>
    </row>
    <row r="6" spans="1:7" ht="15" customHeight="1" x14ac:dyDescent="0.25">
      <c r="A6" s="1"/>
      <c r="B6" s="63"/>
      <c r="C6" s="63"/>
      <c r="D6" s="63"/>
      <c r="E6" s="63"/>
      <c r="F6" s="6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276</v>
      </c>
      <c r="C8" s="102"/>
      <c r="D8" s="102"/>
      <c r="E8" s="102"/>
      <c r="F8" s="103"/>
      <c r="G8" s="1"/>
    </row>
    <row r="9" spans="1:7" x14ac:dyDescent="0.25">
      <c r="A9" s="1"/>
      <c r="B9" s="106" t="s">
        <v>277</v>
      </c>
      <c r="C9" s="107"/>
      <c r="D9" s="108"/>
      <c r="E9" s="9">
        <v>-10595194.154915303</v>
      </c>
      <c r="F9" s="14" t="s">
        <v>3</v>
      </c>
      <c r="G9" s="1"/>
    </row>
    <row r="10" spans="1:7" x14ac:dyDescent="0.25">
      <c r="A10" s="1"/>
      <c r="B10" s="106" t="s">
        <v>278</v>
      </c>
      <c r="C10" s="107"/>
      <c r="D10" s="108"/>
      <c r="E10" s="9">
        <v>-4042383.8401086181</v>
      </c>
      <c r="F10" s="14" t="s">
        <v>3</v>
      </c>
      <c r="G10" s="1"/>
    </row>
    <row r="11" spans="1:7" x14ac:dyDescent="0.25">
      <c r="A11" s="1"/>
      <c r="B11" s="106" t="s">
        <v>279</v>
      </c>
      <c r="C11" s="107"/>
      <c r="D11" s="108"/>
      <c r="E11" s="9">
        <v>-4042383.8401086181</v>
      </c>
      <c r="F11" s="14" t="s">
        <v>3</v>
      </c>
      <c r="G11" s="1"/>
    </row>
    <row r="12" spans="1:7" x14ac:dyDescent="0.25">
      <c r="A12" s="1"/>
      <c r="B12" s="106" t="s">
        <v>280</v>
      </c>
      <c r="C12" s="107"/>
      <c r="D12" s="108"/>
      <c r="E12" s="9">
        <v>-305680.73383264244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1" t="s">
        <v>281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1" t="s">
        <v>282</v>
      </c>
      <c r="C16" s="102"/>
      <c r="D16" s="102"/>
      <c r="E16" s="102"/>
      <c r="F16" s="103"/>
      <c r="G16" s="1"/>
    </row>
    <row r="17" spans="1:8" x14ac:dyDescent="0.25">
      <c r="A17" s="1"/>
      <c r="B17" s="106" t="s">
        <v>283</v>
      </c>
      <c r="C17" s="107"/>
      <c r="D17" s="108"/>
      <c r="E17" s="9">
        <v>-152840.5</v>
      </c>
      <c r="F17" s="14" t="s">
        <v>3</v>
      </c>
      <c r="G17" s="1"/>
    </row>
    <row r="18" spans="1:8" x14ac:dyDescent="0.25">
      <c r="A18" s="1"/>
      <c r="B18" s="106" t="s">
        <v>284</v>
      </c>
      <c r="C18" s="107"/>
      <c r="D18" s="108"/>
      <c r="E18" s="9">
        <v>-152840.5</v>
      </c>
      <c r="F18" s="14" t="s">
        <v>3</v>
      </c>
      <c r="G18" s="1"/>
    </row>
    <row r="19" spans="1:8" x14ac:dyDescent="0.25">
      <c r="A19" s="1"/>
      <c r="B19" s="38"/>
      <c r="C19" s="32"/>
      <c r="D19" s="32"/>
      <c r="E19" s="32"/>
      <c r="F19" s="20"/>
      <c r="G19" s="1"/>
    </row>
    <row r="20" spans="1:8" ht="29.25" customHeight="1" x14ac:dyDescent="0.25">
      <c r="A20" s="1"/>
      <c r="B20" s="91" t="s">
        <v>285</v>
      </c>
      <c r="C20" s="92"/>
      <c r="D20" s="92"/>
      <c r="E20" s="92"/>
      <c r="F20" s="93"/>
      <c r="G20" s="1"/>
    </row>
    <row r="21" spans="1:8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8" t="s">
        <v>213</v>
      </c>
      <c r="C22" s="59"/>
      <c r="D22" s="59"/>
      <c r="E22" s="59"/>
      <c r="F22" s="60"/>
      <c r="G22" s="1"/>
    </row>
    <row r="23" spans="1:8" x14ac:dyDescent="0.25">
      <c r="A23" s="1"/>
      <c r="B23" s="64" t="s">
        <v>214</v>
      </c>
      <c r="C23" s="65"/>
      <c r="D23" s="66"/>
      <c r="E23" s="9">
        <v>86430174.675814837</v>
      </c>
      <c r="F23" s="14" t="s">
        <v>3</v>
      </c>
      <c r="G23" s="1"/>
    </row>
    <row r="24" spans="1:8" x14ac:dyDescent="0.25">
      <c r="A24" s="1"/>
      <c r="B24" s="64" t="s">
        <v>215</v>
      </c>
      <c r="C24" s="65"/>
      <c r="D24" s="66"/>
      <c r="E24" s="9">
        <v>88289206</v>
      </c>
      <c r="F24" s="14" t="s">
        <v>3</v>
      </c>
      <c r="G24" s="1"/>
    </row>
    <row r="25" spans="1:8" x14ac:dyDescent="0.25">
      <c r="A25" s="1"/>
      <c r="B25" s="64" t="s">
        <v>36</v>
      </c>
      <c r="C25" s="65"/>
      <c r="D25" s="66"/>
      <c r="E25" s="9">
        <v>0</v>
      </c>
      <c r="F25" s="14" t="s">
        <v>3</v>
      </c>
      <c r="G25" s="1"/>
    </row>
    <row r="26" spans="1:8" x14ac:dyDescent="0.25">
      <c r="A26" s="1"/>
      <c r="B26" s="61" t="s">
        <v>286</v>
      </c>
      <c r="C26" s="62"/>
      <c r="D26" s="69"/>
      <c r="E26" s="49">
        <f>E23-(E24-E25)</f>
        <v>-1859031.3241851628</v>
      </c>
      <c r="F26" s="17" t="s">
        <v>3</v>
      </c>
      <c r="G26" s="1"/>
    </row>
    <row r="27" spans="1:8" x14ac:dyDescent="0.25">
      <c r="A27" s="1"/>
      <c r="B27" s="38"/>
      <c r="C27" s="32"/>
      <c r="D27" s="32"/>
      <c r="E27" s="32"/>
      <c r="F27" s="20"/>
      <c r="G27" s="1"/>
      <c r="H27" s="50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"/>
      <c r="C29" s="1"/>
      <c r="D29" s="1"/>
      <c r="E29" s="1"/>
      <c r="F29" s="1"/>
      <c r="G29" s="1"/>
    </row>
    <row r="30" spans="1:8" x14ac:dyDescent="0.25">
      <c r="A30" s="1"/>
      <c r="B30" s="101" t="s">
        <v>186</v>
      </c>
      <c r="C30" s="102"/>
      <c r="D30" s="102"/>
      <c r="E30" s="102"/>
      <c r="F30" s="103"/>
      <c r="G30" s="1"/>
    </row>
    <row r="31" spans="1:8" x14ac:dyDescent="0.25">
      <c r="A31" s="1"/>
      <c r="B31" s="118" t="s">
        <v>292</v>
      </c>
      <c r="C31" s="119"/>
      <c r="D31" s="120"/>
      <c r="E31" s="9">
        <v>0</v>
      </c>
      <c r="F31" s="14"/>
      <c r="G31" s="1"/>
    </row>
    <row r="32" spans="1:8" x14ac:dyDescent="0.2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-2164712.3241851628</v>
      </c>
      <c r="F32" s="14" t="s">
        <v>3</v>
      </c>
      <c r="G32" s="1"/>
    </row>
    <row r="33" spans="1:7" x14ac:dyDescent="0.2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25">
      <c r="A34" s="1"/>
      <c r="B34" s="121" t="s">
        <v>188</v>
      </c>
      <c r="C34" s="121"/>
      <c r="D34" s="121"/>
      <c r="E34" s="10">
        <f>E32/E33</f>
        <v>-1082356.1620925814</v>
      </c>
      <c r="F34" s="17" t="s">
        <v>3</v>
      </c>
      <c r="G34" s="1"/>
    </row>
    <row r="35" spans="1:7" x14ac:dyDescent="0.25">
      <c r="A35" s="1"/>
      <c r="B35" s="122"/>
      <c r="C35" s="123"/>
      <c r="D35" s="123"/>
      <c r="E35" s="123"/>
      <c r="F35" s="124"/>
      <c r="G35" s="1"/>
    </row>
    <row r="36" spans="1:7" ht="75" customHeight="1" x14ac:dyDescent="0.25">
      <c r="A36" s="1"/>
      <c r="B36" s="91" t="s">
        <v>291</v>
      </c>
      <c r="C36" s="92"/>
      <c r="D36" s="92"/>
      <c r="E36" s="92"/>
      <c r="F36" s="93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z1SmEiC2pGplgSHJh00mnA4Ld084vkUiqEj1844W3gqgbjXU/nQVLfeMwNJH6Ie2GZlRrjAdu361ck7R7q51Gg==" saltValue="pPZnLd/2x0XZqCSBR1MP0w==" spinCount="100000" sheet="1" objects="1" scenarios="1"/>
  <mergeCells count="18"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  <mergeCell ref="B32:D32"/>
    <mergeCell ref="B33:D33"/>
    <mergeCell ref="B34:D34"/>
    <mergeCell ref="B35:F35"/>
    <mergeCell ref="B36:F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4" t="s">
        <v>216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101" t="s">
        <v>217</v>
      </c>
      <c r="C9" s="102"/>
      <c r="D9" s="102"/>
      <c r="E9" s="102"/>
      <c r="F9" s="103"/>
      <c r="G9" s="1"/>
    </row>
    <row r="10" spans="1:7" x14ac:dyDescent="0.25">
      <c r="A10" s="1"/>
      <c r="B10" s="91" t="s">
        <v>118</v>
      </c>
      <c r="C10" s="92"/>
      <c r="D10" s="93"/>
      <c r="E10" s="7">
        <v>0</v>
      </c>
      <c r="F10" s="8" t="s">
        <v>3</v>
      </c>
      <c r="G10" s="1"/>
    </row>
    <row r="11" spans="1:7" x14ac:dyDescent="0.25">
      <c r="A11" s="1"/>
      <c r="B11" s="106" t="s">
        <v>218</v>
      </c>
      <c r="C11" s="107"/>
      <c r="D11" s="108"/>
      <c r="E11" s="7">
        <v>0</v>
      </c>
      <c r="F11" s="8" t="s">
        <v>3</v>
      </c>
      <c r="G11" s="1"/>
    </row>
    <row r="12" spans="1:7" x14ac:dyDescent="0.25">
      <c r="A12" s="1"/>
      <c r="B12" s="104" t="s">
        <v>119</v>
      </c>
      <c r="C12" s="105"/>
      <c r="D12" s="125"/>
      <c r="E12" s="10">
        <f>E11-E10</f>
        <v>0</v>
      </c>
      <c r="F12" s="11" t="s">
        <v>3</v>
      </c>
      <c r="G12" s="1"/>
    </row>
    <row r="13" spans="1:7" x14ac:dyDescent="0.25">
      <c r="A13" s="1"/>
      <c r="B13" s="101" t="s">
        <v>109</v>
      </c>
      <c r="C13" s="102"/>
      <c r="D13" s="102"/>
      <c r="E13" s="102"/>
      <c r="F13" s="103"/>
      <c r="G13" s="1"/>
    </row>
    <row r="14" spans="1:7" x14ac:dyDescent="0.25">
      <c r="A14" s="1"/>
      <c r="B14" s="106" t="s">
        <v>219</v>
      </c>
      <c r="C14" s="107"/>
      <c r="D14" s="108"/>
      <c r="E14" s="9">
        <v>5920247</v>
      </c>
      <c r="F14" s="8" t="s">
        <v>3</v>
      </c>
      <c r="G14" s="1"/>
    </row>
    <row r="15" spans="1:7" x14ac:dyDescent="0.25">
      <c r="A15" s="1"/>
      <c r="B15" s="91" t="s">
        <v>220</v>
      </c>
      <c r="C15" s="92"/>
      <c r="D15" s="93"/>
      <c r="E15" s="9">
        <v>4293671</v>
      </c>
      <c r="F15" s="8" t="s">
        <v>3</v>
      </c>
      <c r="G15" s="1"/>
    </row>
    <row r="16" spans="1:7" x14ac:dyDescent="0.25">
      <c r="A16" s="1"/>
      <c r="B16" s="104" t="s">
        <v>119</v>
      </c>
      <c r="C16" s="105"/>
      <c r="D16" s="125"/>
      <c r="E16" s="10">
        <f>E15-E14</f>
        <v>-1626576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-1626576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BkvFEEE90WBFUezU9U7t6WnQiUDMAhsYXym8QbgkF2yAb7DWZ4DVrailj24IwFeZ1PElqdR3jidGKitH/6kYw==" saltValue="9BASwoUZ3LE8UbUYF5PFN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177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178</v>
      </c>
      <c r="C8" s="102"/>
      <c r="D8" s="102"/>
      <c r="E8" s="102"/>
      <c r="F8" s="102"/>
      <c r="G8" s="102"/>
      <c r="H8" s="10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ht="39" x14ac:dyDescent="0.25">
      <c r="A10" s="1"/>
      <c r="B10" s="70" t="s">
        <v>261</v>
      </c>
      <c r="C10" s="51" t="s">
        <v>268</v>
      </c>
      <c r="D10" s="9">
        <v>518062.06</v>
      </c>
      <c r="E10" s="9">
        <f>IFERROR(D10/C10,0)</f>
        <v>51806.205999999998</v>
      </c>
      <c r="F10" s="9">
        <v>0</v>
      </c>
      <c r="G10" s="9">
        <v>5387.85</v>
      </c>
      <c r="H10" s="14" t="s">
        <v>3</v>
      </c>
      <c r="I10" s="1"/>
    </row>
    <row r="11" spans="1:9" ht="39" x14ac:dyDescent="0.25">
      <c r="A11" s="1"/>
      <c r="B11" s="70" t="s">
        <v>262</v>
      </c>
      <c r="C11" s="51" t="s">
        <v>268</v>
      </c>
      <c r="D11" s="9">
        <v>888106.38</v>
      </c>
      <c r="E11" s="9">
        <f t="shared" ref="E11:E17" si="0">IFERROR(D11/C11,0)</f>
        <v>88810.638000000006</v>
      </c>
      <c r="F11" s="9">
        <v>0</v>
      </c>
      <c r="G11" s="9">
        <v>9236.31</v>
      </c>
      <c r="H11" s="14" t="s">
        <v>3</v>
      </c>
      <c r="I11" s="1"/>
    </row>
    <row r="12" spans="1:9" ht="26.25" x14ac:dyDescent="0.25">
      <c r="A12" s="1"/>
      <c r="B12" s="70" t="s">
        <v>263</v>
      </c>
      <c r="C12" s="51" t="s">
        <v>269</v>
      </c>
      <c r="D12" s="9">
        <v>447422.79</v>
      </c>
      <c r="E12" s="9">
        <f t="shared" si="0"/>
        <v>5965.6372000000001</v>
      </c>
      <c r="F12" s="9">
        <v>0</v>
      </c>
      <c r="G12" s="9">
        <v>4653.2</v>
      </c>
      <c r="H12" s="14" t="s">
        <v>3</v>
      </c>
      <c r="I12" s="1"/>
    </row>
    <row r="13" spans="1:9" ht="26.25" x14ac:dyDescent="0.25">
      <c r="A13" s="1"/>
      <c r="B13" s="70" t="s">
        <v>264</v>
      </c>
      <c r="C13" s="51" t="s">
        <v>269</v>
      </c>
      <c r="D13" s="9">
        <v>969416.05</v>
      </c>
      <c r="E13" s="9">
        <f t="shared" si="0"/>
        <v>12925.547333333334</v>
      </c>
      <c r="F13" s="9">
        <v>0</v>
      </c>
      <c r="G13" s="9">
        <v>10081.93</v>
      </c>
      <c r="H13" s="14" t="s">
        <v>3</v>
      </c>
      <c r="I13" s="1"/>
    </row>
    <row r="14" spans="1:9" x14ac:dyDescent="0.25">
      <c r="A14" s="1"/>
      <c r="B14" s="70" t="s">
        <v>265</v>
      </c>
      <c r="C14" s="51" t="s">
        <v>269</v>
      </c>
      <c r="D14" s="9">
        <v>1480177.3</v>
      </c>
      <c r="E14" s="9">
        <f t="shared" si="0"/>
        <v>19735.697333333334</v>
      </c>
      <c r="F14" s="9">
        <v>0</v>
      </c>
      <c r="G14" s="9">
        <v>15393.84</v>
      </c>
      <c r="H14" s="14" t="s">
        <v>3</v>
      </c>
      <c r="I14" s="1"/>
    </row>
    <row r="15" spans="1:9" x14ac:dyDescent="0.25">
      <c r="A15" s="1"/>
      <c r="B15" s="70" t="s">
        <v>266</v>
      </c>
      <c r="C15" s="51" t="s">
        <v>269</v>
      </c>
      <c r="D15" s="9">
        <v>1924230.49</v>
      </c>
      <c r="E15" s="9">
        <f t="shared" si="0"/>
        <v>25656.406533333335</v>
      </c>
      <c r="F15" s="9">
        <v>0</v>
      </c>
      <c r="G15" s="9">
        <v>20012</v>
      </c>
      <c r="H15" s="14" t="s">
        <v>3</v>
      </c>
      <c r="I15" s="1"/>
    </row>
    <row r="16" spans="1:9" x14ac:dyDescent="0.25">
      <c r="A16" s="1"/>
      <c r="B16" s="70" t="s">
        <v>267</v>
      </c>
      <c r="C16" s="51" t="s">
        <v>270</v>
      </c>
      <c r="D16" s="9">
        <v>962115.25</v>
      </c>
      <c r="E16" s="9">
        <f t="shared" si="0"/>
        <v>48105.762499999997</v>
      </c>
      <c r="F16" s="9">
        <v>0</v>
      </c>
      <c r="G16" s="9">
        <v>10006</v>
      </c>
      <c r="H16" s="14" t="s">
        <v>3</v>
      </c>
      <c r="I16" s="1"/>
    </row>
    <row r="17" spans="1:9" x14ac:dyDescent="0.25">
      <c r="A17" s="1"/>
      <c r="B17" s="70" t="s">
        <v>265</v>
      </c>
      <c r="C17" s="51" t="s">
        <v>269</v>
      </c>
      <c r="D17" s="9">
        <v>222026.6</v>
      </c>
      <c r="E17" s="9">
        <f t="shared" si="0"/>
        <v>2960.3546666666666</v>
      </c>
      <c r="F17" s="9">
        <v>0</v>
      </c>
      <c r="G17" s="9">
        <v>2309.08</v>
      </c>
      <c r="H17" s="14" t="s">
        <v>3</v>
      </c>
      <c r="I17" s="1"/>
    </row>
    <row r="18" spans="1:9" x14ac:dyDescent="0.25">
      <c r="A18" s="1"/>
      <c r="B18" s="101" t="s">
        <v>179</v>
      </c>
      <c r="C18" s="102"/>
      <c r="D18" s="103"/>
      <c r="E18" s="12">
        <f>SUM(E10:E17)</f>
        <v>255966.24956666669</v>
      </c>
      <c r="F18" s="12">
        <f>SUM(F10:F17)</f>
        <v>0</v>
      </c>
      <c r="G18" s="12">
        <f>SUM(G10:G17)</f>
        <v>77080.210000000006</v>
      </c>
      <c r="H18" s="13" t="s">
        <v>3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48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</sheetData>
  <sheetProtection algorithmName="SHA-512" hashValue="WDsw9HNoyagkEMPyhvz3b7PVv2zuaQozn1UGIOynCEI4sISozTWyr0Vsrw1Rk1mskjYIxiKZ5TVK5aL7mjVLJg==" saltValue="Otmyzf5g5AEFDmYU1ZCHJA==" spinCount="100000" sheet="1" objects="1" scenarios="1"/>
  <mergeCells count="3">
    <mergeCell ref="B3:H4"/>
    <mergeCell ref="B18:D1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135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6" t="s">
        <v>18</v>
      </c>
      <c r="C9" s="56" t="s">
        <v>12</v>
      </c>
      <c r="D9" s="57"/>
      <c r="E9" s="56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Anlægsprojekter'!F18</f>
        <v>0</v>
      </c>
      <c r="D10" s="14" t="s">
        <v>3</v>
      </c>
      <c r="E10" s="9">
        <f>SUM('Fane 9. Anlægsprojekter'!E18,'Fane 9. Anlægsprojekter'!G18)</f>
        <v>333046.45956666669</v>
      </c>
      <c r="F10" s="14" t="s">
        <v>3</v>
      </c>
      <c r="G10" s="1"/>
    </row>
    <row r="11" spans="1:7" x14ac:dyDescent="0.25">
      <c r="A11" s="1"/>
      <c r="B11" s="47" t="s">
        <v>288</v>
      </c>
      <c r="C11" s="22">
        <v>0</v>
      </c>
      <c r="D11" s="14" t="s">
        <v>3</v>
      </c>
      <c r="E11" s="9">
        <v>2319747</v>
      </c>
      <c r="F11" s="14" t="s">
        <v>3</v>
      </c>
      <c r="G11" s="1"/>
    </row>
    <row r="12" spans="1:7" x14ac:dyDescent="0.25">
      <c r="A12" s="1"/>
      <c r="B12" s="47" t="s">
        <v>289</v>
      </c>
      <c r="C12" s="22">
        <v>0</v>
      </c>
      <c r="D12" s="14" t="s">
        <v>3</v>
      </c>
      <c r="E12" s="9">
        <v>15808</v>
      </c>
      <c r="F12" s="14" t="s">
        <v>3</v>
      </c>
      <c r="G12" s="1"/>
    </row>
    <row r="13" spans="1:7" x14ac:dyDescent="0.25">
      <c r="A13" s="1"/>
      <c r="B13" s="25" t="s">
        <v>290</v>
      </c>
      <c r="C13" s="22">
        <v>26498</v>
      </c>
      <c r="D13" s="14" t="s">
        <v>3</v>
      </c>
      <c r="E13" s="9">
        <v>123775</v>
      </c>
      <c r="F13" s="14" t="s">
        <v>3</v>
      </c>
      <c r="G13" s="1"/>
    </row>
    <row r="14" spans="1:7" x14ac:dyDescent="0.25">
      <c r="A14" s="1"/>
      <c r="B14" s="38" t="s">
        <v>163</v>
      </c>
      <c r="C14" s="12">
        <f>SUM(C10:C13)</f>
        <v>26498</v>
      </c>
      <c r="D14" s="13" t="s">
        <v>3</v>
      </c>
      <c r="E14" s="12">
        <f>SUM(E10:E13)</f>
        <v>2792376.4595666667</v>
      </c>
      <c r="F14" s="13" t="s">
        <v>3</v>
      </c>
      <c r="G14" s="1"/>
    </row>
    <row r="15" spans="1:7" x14ac:dyDescent="0.25">
      <c r="A15" s="1"/>
      <c r="B15" s="38" t="s">
        <v>222</v>
      </c>
      <c r="C15" s="12">
        <f>C14*(1+'Fane 14. Nøgletal'!C14)</f>
        <v>26585.443400000004</v>
      </c>
      <c r="D15" s="13" t="s">
        <v>3</v>
      </c>
      <c r="E15" s="12">
        <f>E14*(1+'Fane 14. Nøgletal'!C14)</f>
        <v>2801591.301883237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cgEmQZdhqgMdS1IgsayZvdVfeEAFpCR4MQDHZ8LN7+jNeCJclvGF4Sn7tJrXkfCBVe6efJFnUbsCNdqWWa9apQ==" saltValue="oLJZKQf+DPFnnaKthyYxX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134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112</v>
      </c>
      <c r="C8" s="102"/>
      <c r="D8" s="102"/>
      <c r="E8" s="102"/>
      <c r="F8" s="103"/>
      <c r="G8" s="1"/>
    </row>
    <row r="9" spans="1:7" x14ac:dyDescent="0.25">
      <c r="A9" s="1"/>
      <c r="B9" s="56" t="s">
        <v>18</v>
      </c>
      <c r="C9" s="56" t="s">
        <v>12</v>
      </c>
      <c r="D9" s="57"/>
      <c r="E9" s="56" t="s">
        <v>34</v>
      </c>
      <c r="F9" s="37"/>
      <c r="G9" s="1"/>
    </row>
    <row r="10" spans="1:7" x14ac:dyDescent="0.25">
      <c r="A10" s="1"/>
      <c r="B10" s="25" t="s">
        <v>293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1" t="s">
        <v>113</v>
      </c>
      <c r="C16" s="102"/>
      <c r="D16" s="102"/>
      <c r="E16" s="102"/>
      <c r="F16" s="103"/>
      <c r="G16" s="1"/>
    </row>
    <row r="17" spans="1:7" x14ac:dyDescent="0.25">
      <c r="A17" s="1"/>
      <c r="B17" s="56" t="s">
        <v>18</v>
      </c>
      <c r="C17" s="56" t="s">
        <v>12</v>
      </c>
      <c r="D17" s="57"/>
      <c r="E17" s="56" t="s">
        <v>34</v>
      </c>
      <c r="F17" s="37"/>
      <c r="G17" s="1"/>
    </row>
    <row r="18" spans="1:7" x14ac:dyDescent="0.25">
      <c r="A18" s="1"/>
      <c r="B18" s="25" t="s">
        <v>293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1" t="s">
        <v>166</v>
      </c>
      <c r="C24" s="102"/>
      <c r="D24" s="102"/>
      <c r="E24" s="102"/>
      <c r="F24" s="103"/>
      <c r="G24" s="1"/>
    </row>
    <row r="25" spans="1:7" x14ac:dyDescent="0.25">
      <c r="A25" s="1"/>
      <c r="B25" s="56" t="s">
        <v>18</v>
      </c>
      <c r="C25" s="56" t="s">
        <v>12</v>
      </c>
      <c r="D25" s="57"/>
      <c r="E25" s="56" t="s">
        <v>34</v>
      </c>
      <c r="F25" s="37"/>
      <c r="G25" s="1"/>
    </row>
    <row r="26" spans="1:7" x14ac:dyDescent="0.25">
      <c r="A26" s="1"/>
      <c r="B26" s="25" t="s">
        <v>293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1" t="s">
        <v>224</v>
      </c>
      <c r="C32" s="102"/>
      <c r="D32" s="102"/>
      <c r="E32" s="102"/>
      <c r="F32" s="103"/>
      <c r="G32" s="1"/>
    </row>
    <row r="33" spans="1:7" x14ac:dyDescent="0.25">
      <c r="A33" s="1"/>
      <c r="B33" s="56" t="s">
        <v>18</v>
      </c>
      <c r="C33" s="56" t="s">
        <v>12</v>
      </c>
      <c r="D33" s="57"/>
      <c r="E33" s="56" t="s">
        <v>34</v>
      </c>
      <c r="F33" s="37"/>
      <c r="G33" s="1"/>
    </row>
    <row r="34" spans="1:7" x14ac:dyDescent="0.25">
      <c r="A34" s="1"/>
      <c r="B34" s="25" t="s">
        <v>293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w8Jr8W1JAFytiSyax/1YwQTR9apy5DRN0kSkckHAhQbidMvb6s2GXTU0ohUIu6FIpNoLhdqXif3ug5n0nE7XIQ==" saltValue="Dx/VROeTTeHeNxFQlKuqc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136</v>
      </c>
      <c r="C3" s="94"/>
      <c r="D3" s="94"/>
      <c r="E3" s="94"/>
      <c r="F3" s="94"/>
      <c r="G3" s="1"/>
    </row>
    <row r="4" spans="1:7" ht="1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94"/>
      <c r="C5" s="94"/>
      <c r="D5" s="94"/>
      <c r="E5" s="94"/>
      <c r="F5" s="9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103</v>
      </c>
      <c r="C8" s="102"/>
      <c r="D8" s="102"/>
      <c r="E8" s="102"/>
      <c r="F8" s="103"/>
      <c r="G8" s="1"/>
    </row>
    <row r="9" spans="1:7" x14ac:dyDescent="0.25">
      <c r="A9" s="1"/>
      <c r="B9" s="126" t="s">
        <v>226</v>
      </c>
      <c r="C9" s="127"/>
      <c r="D9" s="128"/>
      <c r="E9" s="9">
        <v>0</v>
      </c>
      <c r="F9" s="14" t="s">
        <v>3</v>
      </c>
      <c r="G9" s="1"/>
    </row>
    <row r="10" spans="1:7" x14ac:dyDescent="0.25">
      <c r="A10" s="1"/>
      <c r="B10" s="95" t="s">
        <v>10</v>
      </c>
      <c r="C10" s="96"/>
      <c r="D10" s="97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95" t="s">
        <v>26</v>
      </c>
      <c r="C11" s="96"/>
      <c r="D11" s="97"/>
      <c r="E11" s="9">
        <f>-E9*'Fane 14. Nøgletal'!C29</f>
        <v>0</v>
      </c>
      <c r="F11" s="14" t="s">
        <v>3</v>
      </c>
      <c r="G11" s="1"/>
    </row>
    <row r="12" spans="1:7" x14ac:dyDescent="0.25">
      <c r="A12" s="1"/>
      <c r="B12" s="101" t="s">
        <v>105</v>
      </c>
      <c r="C12" s="102"/>
      <c r="D12" s="103"/>
      <c r="E12" s="12">
        <f>SUM(E9:E11)*(1+'Fane 14. Nøgletal'!C14)^2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1" t="s">
        <v>104</v>
      </c>
      <c r="C14" s="102"/>
      <c r="D14" s="102"/>
      <c r="E14" s="102"/>
      <c r="F14" s="103"/>
      <c r="G14" s="1"/>
    </row>
    <row r="15" spans="1:7" ht="15" customHeight="1" x14ac:dyDescent="0.25">
      <c r="A15" s="1"/>
      <c r="B15" s="126" t="s">
        <v>226</v>
      </c>
      <c r="C15" s="127"/>
      <c r="D15" s="128"/>
      <c r="E15" s="9">
        <v>0</v>
      </c>
      <c r="F15" s="14" t="s">
        <v>3</v>
      </c>
      <c r="G15" s="1"/>
    </row>
    <row r="16" spans="1:7" x14ac:dyDescent="0.25">
      <c r="A16" s="1"/>
      <c r="B16" s="95" t="s">
        <v>10</v>
      </c>
      <c r="C16" s="96"/>
      <c r="D16" s="97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95" t="s">
        <v>26</v>
      </c>
      <c r="C17" s="96"/>
      <c r="D17" s="97"/>
      <c r="E17" s="9">
        <f>-E15*'Fane 14. Nøgletal'!C29</f>
        <v>0</v>
      </c>
      <c r="F17" s="14" t="s">
        <v>3</v>
      </c>
      <c r="G17" s="1"/>
    </row>
    <row r="18" spans="1:7" x14ac:dyDescent="0.25">
      <c r="A18" s="1"/>
      <c r="B18" s="101" t="s">
        <v>106</v>
      </c>
      <c r="C18" s="102"/>
      <c r="D18" s="103"/>
      <c r="E18" s="12">
        <f>SUM(E15:E17)*(1+'Fane 14. Nøgletal'!C14)^3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1" t="s">
        <v>155</v>
      </c>
      <c r="C20" s="102"/>
      <c r="D20" s="102"/>
      <c r="E20" s="102"/>
      <c r="F20" s="103"/>
      <c r="G20" s="1"/>
    </row>
    <row r="21" spans="1:7" ht="15" customHeight="1" x14ac:dyDescent="0.25">
      <c r="A21" s="1"/>
      <c r="B21" s="126" t="s">
        <v>226</v>
      </c>
      <c r="C21" s="127"/>
      <c r="D21" s="128"/>
      <c r="E21" s="9">
        <v>0</v>
      </c>
      <c r="F21" s="14" t="s">
        <v>3</v>
      </c>
      <c r="G21" s="1"/>
    </row>
    <row r="22" spans="1:7" x14ac:dyDescent="0.25">
      <c r="A22" s="1"/>
      <c r="B22" s="95" t="s">
        <v>10</v>
      </c>
      <c r="C22" s="96"/>
      <c r="D22" s="97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95" t="s">
        <v>26</v>
      </c>
      <c r="C23" s="96"/>
      <c r="D23" s="97"/>
      <c r="E23" s="9">
        <f>-E21*'Fane 14. Nøgletal'!C29</f>
        <v>0</v>
      </c>
      <c r="F23" s="14" t="s">
        <v>3</v>
      </c>
      <c r="G23" s="1"/>
    </row>
    <row r="24" spans="1:7" x14ac:dyDescent="0.25">
      <c r="A24" s="1"/>
      <c r="B24" s="101" t="s">
        <v>156</v>
      </c>
      <c r="C24" s="102"/>
      <c r="D24" s="103"/>
      <c r="E24" s="12">
        <f>SUM(E21:E23)*(1+'Fane 14. Nøgletal'!C14)^4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1" t="s">
        <v>227</v>
      </c>
      <c r="C26" s="102"/>
      <c r="D26" s="102"/>
      <c r="E26" s="102"/>
      <c r="F26" s="103"/>
      <c r="G26" s="1"/>
    </row>
    <row r="27" spans="1:7" ht="15" customHeight="1" x14ac:dyDescent="0.25">
      <c r="A27" s="1"/>
      <c r="B27" s="126" t="s">
        <v>226</v>
      </c>
      <c r="C27" s="127"/>
      <c r="D27" s="128"/>
      <c r="E27" s="9">
        <v>0</v>
      </c>
      <c r="F27" s="14" t="s">
        <v>3</v>
      </c>
      <c r="G27" s="1"/>
    </row>
    <row r="28" spans="1:7" x14ac:dyDescent="0.25">
      <c r="A28" s="1"/>
      <c r="B28" s="95" t="s">
        <v>10</v>
      </c>
      <c r="C28" s="96"/>
      <c r="D28" s="97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95" t="s">
        <v>26</v>
      </c>
      <c r="C29" s="96"/>
      <c r="D29" s="97"/>
      <c r="E29" s="9">
        <f>-E27*'Fane 14. Nøgletal'!C29</f>
        <v>0</v>
      </c>
      <c r="F29" s="14" t="s">
        <v>3</v>
      </c>
      <c r="G29" s="1"/>
    </row>
    <row r="30" spans="1:7" x14ac:dyDescent="0.25">
      <c r="A30" s="1"/>
      <c r="B30" s="101" t="s">
        <v>228</v>
      </c>
      <c r="C30" s="102"/>
      <c r="D30" s="103"/>
      <c r="E30" s="12">
        <f>SUM(E27:E29)*(1+'Fane 14. Nøgletal'!C14)^5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pvDXSSy/tuoR7BVscObQFXTzRrvDNCHK3RKki25Cr6/t76CXe6+X1SxKGuhl4IQ1UhQ/qRovAIMbSn60rgKvOQ==" saltValue="UT0569xgYzu1HLu4WL5Pk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157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158</v>
      </c>
      <c r="C8" s="102"/>
      <c r="D8" s="102"/>
      <c r="E8" s="102"/>
      <c r="F8" s="103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S1iM0r7fY0nNQrI36f/LsKwBmqugR8LRRAv2XdKB5PUHoq1WcRKutuDnAWh9Xb8hdi/G0TEznIxuHJAupGEUqQ==" saltValue="YJlOf3P8b1zUjBPUzECG9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133</v>
      </c>
      <c r="C3" s="94"/>
      <c r="D3" s="94"/>
      <c r="E3" s="94"/>
      <c r="F3" s="94"/>
      <c r="G3" s="1"/>
    </row>
    <row r="4" spans="1:7" ht="25.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1" t="s">
        <v>107</v>
      </c>
      <c r="C8" s="102"/>
      <c r="D8" s="102"/>
      <c r="E8" s="102"/>
      <c r="F8" s="103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275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1" t="s">
        <v>108</v>
      </c>
      <c r="C14" s="102"/>
      <c r="D14" s="102"/>
      <c r="E14" s="102"/>
      <c r="F14" s="103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275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01" t="s">
        <v>169</v>
      </c>
      <c r="C20" s="102"/>
      <c r="D20" s="102"/>
      <c r="E20" s="102"/>
      <c r="F20" s="103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275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01" t="s">
        <v>231</v>
      </c>
      <c r="C26" s="102"/>
      <c r="D26" s="102"/>
      <c r="E26" s="102"/>
      <c r="F26" s="103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275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/2WzJRBisPk70qlnD2t6GfJZ8s0VJoeoCZC7jntbIHvvzyQMhKfSf7yo8Akfglzb7/cDea3iqwOOQMKl3gCprA==" saltValue="ECorca5+gwL0vWDali8Ej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4" t="s">
        <v>189</v>
      </c>
      <c r="C3" s="94"/>
      <c r="D3" s="1"/>
    </row>
    <row r="4" spans="1:4" ht="25.5" customHeight="1" x14ac:dyDescent="0.25">
      <c r="A4" s="1"/>
      <c r="B4" s="94"/>
      <c r="C4" s="9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7" t="s">
        <v>137</v>
      </c>
      <c r="C9" s="26">
        <v>1.2699999999999999E-2</v>
      </c>
      <c r="D9" s="1"/>
    </row>
    <row r="10" spans="1:4" x14ac:dyDescent="0.25">
      <c r="A10" s="1"/>
      <c r="B10" s="67" t="s">
        <v>138</v>
      </c>
      <c r="C10" s="26">
        <v>1.7500000000000002E-2</v>
      </c>
      <c r="D10" s="1"/>
    </row>
    <row r="11" spans="1:4" x14ac:dyDescent="0.25">
      <c r="A11" s="1"/>
      <c r="B11" s="67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7" t="s">
        <v>253</v>
      </c>
      <c r="C14" s="52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7" t="s">
        <v>139</v>
      </c>
      <c r="C19" s="23">
        <v>9.1000000000000004E-3</v>
      </c>
      <c r="D19" s="1"/>
    </row>
    <row r="20" spans="1:4" x14ac:dyDescent="0.25">
      <c r="A20" s="1"/>
      <c r="B20" s="67" t="s">
        <v>190</v>
      </c>
      <c r="C20" s="23">
        <v>1.77E-2</v>
      </c>
      <c r="D20" s="1"/>
    </row>
    <row r="21" spans="1:4" x14ac:dyDescent="0.25">
      <c r="A21" s="1"/>
      <c r="B21" s="67" t="s">
        <v>191</v>
      </c>
      <c r="C21" s="23">
        <v>8.6999999999999994E-3</v>
      </c>
      <c r="D21" s="1"/>
    </row>
    <row r="22" spans="1:4" x14ac:dyDescent="0.25">
      <c r="A22" s="1"/>
      <c r="B22" s="67" t="s">
        <v>140</v>
      </c>
      <c r="C22" s="41">
        <v>2.8400000000000002E-2</v>
      </c>
      <c r="D22" s="1"/>
    </row>
    <row r="23" spans="1:4" x14ac:dyDescent="0.25">
      <c r="A23" s="1"/>
      <c r="B23" s="67" t="s">
        <v>192</v>
      </c>
      <c r="C23" s="41">
        <v>2.75E-2</v>
      </c>
      <c r="D23" s="1"/>
    </row>
    <row r="24" spans="1:4" x14ac:dyDescent="0.25">
      <c r="A24" s="1"/>
      <c r="B24" s="67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7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5VmPM01KQU+YydpPifqHWOJFnN5vkNQ4PoYXwPhaPQtTWnP9+fd0qs37N4WByODOi97ZGIpYtRjUP8VtE+QCjA==" saltValue="/tofjbNuYNazKU2RlNnsO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82783063.334887996</v>
      </c>
      <c r="D9" s="8" t="s">
        <v>3</v>
      </c>
      <c r="E9" s="1"/>
    </row>
    <row r="10" spans="1:5" ht="17.100000000000001" customHeight="1" x14ac:dyDescent="0.25">
      <c r="A10" s="1"/>
      <c r="B10" s="55" t="s">
        <v>43</v>
      </c>
      <c r="C10" s="7">
        <f>'Fane 10.1. Varige tillæg'!C15</f>
        <v>26585.443400000004</v>
      </c>
      <c r="D10" s="8" t="s">
        <v>3</v>
      </c>
      <c r="E10" s="1"/>
    </row>
    <row r="11" spans="1:5" ht="17.100000000000001" customHeight="1" x14ac:dyDescent="0.25">
      <c r="A11" s="1"/>
      <c r="B11" s="55" t="s">
        <v>44</v>
      </c>
      <c r="C11" s="9">
        <f>'Fane 10.1. Varige tillæg'!E15</f>
        <v>2801591.301883237</v>
      </c>
      <c r="D11" s="8" t="s">
        <v>3</v>
      </c>
      <c r="E11" s="1"/>
    </row>
    <row r="12" spans="1:5" ht="17.100000000000001" customHeight="1" x14ac:dyDescent="0.25">
      <c r="A12" s="1"/>
      <c r="B12" s="55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5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5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5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5" t="s">
        <v>20</v>
      </c>
      <c r="C16" s="9">
        <f>SUM(C9:C15)*'Fane 14. Nøgletal'!C14</f>
        <v>282517.09226456506</v>
      </c>
      <c r="D16" s="8" t="s">
        <v>3</v>
      </c>
      <c r="E16" s="1"/>
    </row>
    <row r="17" spans="1:5" ht="17.100000000000001" customHeight="1" x14ac:dyDescent="0.25">
      <c r="A17" s="1"/>
      <c r="B17" s="55" t="s">
        <v>10</v>
      </c>
      <c r="C17" s="9">
        <f>-SUM(C9:C16)*'Fane 5. Individuelt eff. krav'!G12</f>
        <v>-1717875.1434487158</v>
      </c>
      <c r="D17" s="8" t="s">
        <v>3</v>
      </c>
      <c r="E17" s="1"/>
    </row>
    <row r="18" spans="1:5" ht="17.100000000000001" customHeight="1" x14ac:dyDescent="0.25">
      <c r="A18" s="1"/>
      <c r="B18" s="55" t="s">
        <v>26</v>
      </c>
      <c r="C18" s="9">
        <f>-'Fane 4.1. Gen. krav - drift'!G40</f>
        <v>-369526.03130679304</v>
      </c>
      <c r="D18" s="8" t="s">
        <v>3</v>
      </c>
      <c r="E18" s="1"/>
    </row>
    <row r="19" spans="1:5" ht="17.100000000000001" customHeight="1" x14ac:dyDescent="0.25">
      <c r="A19" s="1"/>
      <c r="B19" s="55" t="s">
        <v>27</v>
      </c>
      <c r="C19" s="9">
        <f>-'Fane 4.2. Gen. krav - anlæg'!G37</f>
        <v>-1041930.0486454046</v>
      </c>
      <c r="D19" s="8" t="s">
        <v>3</v>
      </c>
      <c r="E19" s="1"/>
    </row>
    <row r="20" spans="1:5" ht="17.100000000000001" customHeight="1" x14ac:dyDescent="0.25">
      <c r="A20" s="1"/>
      <c r="B20" s="61" t="s">
        <v>22</v>
      </c>
      <c r="C20" s="10">
        <f>SUM(C9:C19)</f>
        <v>82764425.949034885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omk.'!C14+'Fane 6. Ikke-påvirkelige omk.'!C18+'Fane 6. Ikke-påvirkelige omk.'!C26</f>
        <v>43528171.609921068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61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5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5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61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295</v>
      </c>
      <c r="C30" s="10">
        <f>'Fane 7. Kontrol af ØR2020'!E34</f>
        <v>-1082356.1620925814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-1626576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8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123583665.39686337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uyOtN4E3Fkn6j0fBiplyreKHGZIcHaCyq8bsrcpbey603M9Tkm7Gp1O61tQiCMvcuafof83OpmdO38O70jnCvA==" saltValue="eKNwVqPk6t6TevFMbZisv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23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82764425.949034885</v>
      </c>
      <c r="D9" s="8" t="s">
        <v>3</v>
      </c>
      <c r="E9" s="1"/>
    </row>
    <row r="10" spans="1:5" ht="15" customHeight="1" x14ac:dyDescent="0.25">
      <c r="A10" s="1"/>
      <c r="B10" s="55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5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273122.60563181509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-1660750.971093334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drift'!G47</f>
        <v>-363330.55786590336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-1029896.9652224066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79983570.060485065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Nøgletal'!C14)+'Fane 6. Ikke-påvirkelige omk.'!C19+'Fane 6. Ikke-påvirkelige omk.'!C27</f>
        <v>43623826.29223381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295</v>
      </c>
      <c r="C26" s="10">
        <f>'Fane 7. Kontrol af ØR2020'!E34</f>
        <v>-1082356.1620925814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8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122525040.19062629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58ep9mk0ujduysmN3apC6CofYORZdX+O7/VsgildAFEhATurAimsEonaJSZbpqguryXl8JFRd1kRMIFPj7qpGw==" saltValue="xIRuylSNqk5CJlgiDKQ3N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23</v>
      </c>
      <c r="C5" s="90"/>
      <c r="D5" s="90"/>
      <c r="E5" s="1"/>
    </row>
    <row r="6" spans="1:5" x14ac:dyDescent="0.25">
      <c r="A6" s="1"/>
      <c r="B6" s="54"/>
      <c r="C6" s="54"/>
      <c r="D6" s="54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79983570.060485065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263945.78119960072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-1604950.3168336935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drift'!G55</f>
        <v>-357238.95773272368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-1018002.8499545676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77267323.717163697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Nøgletal'!C14)^2+'Fane 6. Ikke-påvirkelige omk.'!C20+'Fane 6. Ikke-påvirkelige omk.'!C28</f>
        <v>34835333.265598178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8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112102656.98276187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gciQG7xwizbq73F2krjh6pbcHQp0nsPZBPAdIsV/iLcf19qdKEjzXmGRICjelNGA09o5M0myUtNgr5lMmEfbdQ==" saltValue="AM2bklLld7ooBu2fVf+Ua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198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23</v>
      </c>
      <c r="C5" s="90"/>
      <c r="D5" s="90"/>
      <c r="E5" s="1"/>
    </row>
    <row r="6" spans="1:5" x14ac:dyDescent="0.25">
      <c r="A6" s="1"/>
      <c r="B6" s="54"/>
      <c r="C6" s="54"/>
      <c r="D6" s="54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77267323.717163697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254982.16826664019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-1550446.1177086066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drift'!G61</f>
        <v>-351249.4893673769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-1006246.0979208985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74614364.180433452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omk.'!C14*(1+'Fane 14. Nøgletal'!C14)^3+'Fane 6. Ikke-påvirkelige omk.'!C21+'Fane 6. Ikke-påvirkelige omk.'!C29</f>
        <v>35011643.563874654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61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5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5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61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8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109626007.74430811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sRbcr2edIZVRkOkuJA3Be4Nki2rScmcM51Y4yYEoBQ5XLlA4/Xnpn2DvFqZ0OWP0/jDGWxT4eqPJZC3Fa2zx7Q==" saltValue="0hv5miRjYQkZxM2v+bXWB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4" t="s">
        <v>250</v>
      </c>
      <c r="C3" s="94"/>
      <c r="D3" s="94"/>
      <c r="E3" s="94"/>
      <c r="F3" s="94"/>
      <c r="G3" s="1"/>
    </row>
    <row r="4" spans="1:7" ht="29.25" customHeight="1" x14ac:dyDescent="0.25">
      <c r="A4" s="1"/>
      <c r="B4" s="94"/>
      <c r="C4" s="94"/>
      <c r="D4" s="94"/>
      <c r="E4" s="94"/>
      <c r="F4" s="9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287</v>
      </c>
      <c r="C8" s="32"/>
      <c r="D8" s="32"/>
      <c r="E8" s="32"/>
      <c r="F8" s="20"/>
      <c r="G8" s="1"/>
    </row>
    <row r="9" spans="1:7" ht="15" customHeight="1" x14ac:dyDescent="0.25">
      <c r="A9" s="1"/>
      <c r="B9" s="91" t="s">
        <v>25</v>
      </c>
      <c r="C9" s="92"/>
      <c r="D9" s="93"/>
      <c r="E9" s="7">
        <v>65596234.012783185</v>
      </c>
      <c r="F9" s="8" t="s">
        <v>3</v>
      </c>
      <c r="G9" s="1"/>
    </row>
    <row r="10" spans="1:7" ht="15" customHeight="1" x14ac:dyDescent="0.25">
      <c r="A10" s="1"/>
      <c r="B10" s="95" t="s">
        <v>43</v>
      </c>
      <c r="C10" s="96"/>
      <c r="D10" s="97"/>
      <c r="E10" s="7">
        <v>1324.9698000000001</v>
      </c>
      <c r="F10" s="8" t="s">
        <v>3</v>
      </c>
      <c r="G10" s="1"/>
    </row>
    <row r="11" spans="1:7" ht="15" customHeight="1" x14ac:dyDescent="0.25">
      <c r="A11" s="1"/>
      <c r="B11" s="95" t="s">
        <v>44</v>
      </c>
      <c r="C11" s="96"/>
      <c r="D11" s="97"/>
      <c r="E11" s="9">
        <v>18269470.081799999</v>
      </c>
      <c r="F11" s="8" t="s">
        <v>3</v>
      </c>
      <c r="G11" s="1"/>
    </row>
    <row r="12" spans="1:7" ht="15" customHeight="1" x14ac:dyDescent="0.25">
      <c r="A12" s="1"/>
      <c r="B12" s="95" t="s">
        <v>29</v>
      </c>
      <c r="C12" s="96"/>
      <c r="D12" s="97"/>
      <c r="E12" s="9">
        <v>0</v>
      </c>
      <c r="F12" s="8" t="s">
        <v>3</v>
      </c>
      <c r="G12" s="1"/>
    </row>
    <row r="13" spans="1:7" ht="15" customHeight="1" x14ac:dyDescent="0.25">
      <c r="A13" s="1"/>
      <c r="B13" s="91" t="s">
        <v>28</v>
      </c>
      <c r="C13" s="92"/>
      <c r="D13" s="93"/>
      <c r="E13" s="9">
        <v>0</v>
      </c>
      <c r="F13" s="8" t="s">
        <v>3</v>
      </c>
      <c r="G13" s="1"/>
    </row>
    <row r="14" spans="1:7" ht="15" customHeight="1" x14ac:dyDescent="0.25">
      <c r="A14" s="1"/>
      <c r="B14" s="91" t="s">
        <v>31</v>
      </c>
      <c r="C14" s="92"/>
      <c r="D14" s="93"/>
      <c r="E14" s="9">
        <v>0</v>
      </c>
      <c r="F14" s="8" t="s">
        <v>3</v>
      </c>
      <c r="G14" s="1"/>
    </row>
    <row r="15" spans="1:7" ht="15" customHeight="1" x14ac:dyDescent="0.25">
      <c r="A15" s="1"/>
      <c r="B15" s="91" t="s">
        <v>30</v>
      </c>
      <c r="C15" s="92"/>
      <c r="D15" s="93"/>
      <c r="E15" s="9">
        <v>0</v>
      </c>
      <c r="F15" s="8" t="s">
        <v>3</v>
      </c>
      <c r="G15" s="1"/>
    </row>
    <row r="16" spans="1:7" ht="15" customHeight="1" x14ac:dyDescent="0.25">
      <c r="A16" s="1"/>
      <c r="B16" s="91" t="s">
        <v>20</v>
      </c>
      <c r="C16" s="92"/>
      <c r="D16" s="93"/>
      <c r="E16" s="9">
        <v>1515149.5096813487</v>
      </c>
      <c r="F16" s="8" t="s">
        <v>3</v>
      </c>
      <c r="G16" s="1"/>
    </row>
    <row r="17" spans="1:7" ht="15" customHeight="1" x14ac:dyDescent="0.25">
      <c r="A17" s="1"/>
      <c r="B17" s="91" t="s">
        <v>10</v>
      </c>
      <c r="C17" s="92"/>
      <c r="D17" s="93"/>
      <c r="E17" s="9">
        <v>-271798.21098761633</v>
      </c>
      <c r="F17" s="8" t="s">
        <v>3</v>
      </c>
      <c r="G17" s="1"/>
    </row>
    <row r="18" spans="1:7" ht="15" customHeight="1" x14ac:dyDescent="0.25">
      <c r="A18" s="1"/>
      <c r="B18" s="91" t="s">
        <v>26</v>
      </c>
      <c r="C18" s="92"/>
      <c r="D18" s="93"/>
      <c r="E18" s="9">
        <f>-'Fane 4.1. Gen. krav - drift'!G34</f>
        <v>-375284.58922243188</v>
      </c>
      <c r="F18" s="8" t="s">
        <v>3</v>
      </c>
      <c r="G18" s="1"/>
    </row>
    <row r="19" spans="1:7" ht="15" customHeight="1" x14ac:dyDescent="0.25">
      <c r="A19" s="1"/>
      <c r="B19" s="91" t="s">
        <v>27</v>
      </c>
      <c r="C19" s="92"/>
      <c r="D19" s="93"/>
      <c r="E19" s="9">
        <f>-'Fane 4.2. Gen. krav - anlæg'!G31</f>
        <v>-1952032.4389664782</v>
      </c>
      <c r="F19" s="8" t="s">
        <v>3</v>
      </c>
      <c r="G19" s="1"/>
    </row>
    <row r="20" spans="1:7" ht="15" customHeight="1" x14ac:dyDescent="0.25">
      <c r="A20" s="1"/>
      <c r="B20" s="61" t="s">
        <v>22</v>
      </c>
      <c r="C20" s="62"/>
      <c r="D20" s="69"/>
      <c r="E20" s="10">
        <f>SUM(E9:E19)</f>
        <v>82783063.334887996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8" t="s">
        <v>13</v>
      </c>
      <c r="C22" s="99"/>
      <c r="D22" s="100"/>
      <c r="E22" s="10">
        <v>44638769.422088839</v>
      </c>
      <c r="F22" s="11" t="s">
        <v>3</v>
      </c>
      <c r="G22" s="1"/>
    </row>
    <row r="23" spans="1:7" ht="15" customHeight="1" x14ac:dyDescent="0.25">
      <c r="A23" s="1"/>
      <c r="B23" s="101" t="s">
        <v>94</v>
      </c>
      <c r="C23" s="102"/>
      <c r="D23" s="103"/>
      <c r="E23" s="32"/>
      <c r="F23" s="32"/>
      <c r="G23" s="1"/>
    </row>
    <row r="24" spans="1:7" ht="15" customHeight="1" x14ac:dyDescent="0.25">
      <c r="A24" s="1"/>
      <c r="B24" s="61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95" t="s">
        <v>89</v>
      </c>
      <c r="C26" s="96"/>
      <c r="D26" s="97"/>
      <c r="E26" s="9">
        <v>0</v>
      </c>
      <c r="F26" s="8" t="s">
        <v>3</v>
      </c>
      <c r="G26" s="1"/>
    </row>
    <row r="27" spans="1:7" ht="15" customHeight="1" x14ac:dyDescent="0.25">
      <c r="A27" s="1"/>
      <c r="B27" s="95" t="s">
        <v>90</v>
      </c>
      <c r="C27" s="96"/>
      <c r="D27" s="96"/>
      <c r="E27" s="9">
        <v>0</v>
      </c>
      <c r="F27" s="8" t="s">
        <v>3</v>
      </c>
      <c r="G27" s="1"/>
    </row>
    <row r="28" spans="1:7" ht="15" customHeight="1" x14ac:dyDescent="0.25">
      <c r="A28" s="1"/>
      <c r="B28" s="104" t="s">
        <v>95</v>
      </c>
      <c r="C28" s="105"/>
      <c r="D28" s="105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8" t="s">
        <v>185</v>
      </c>
      <c r="C30" s="99"/>
      <c r="D30" s="99"/>
      <c r="E30" s="45">
        <v>-7318788.9975119606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6" customHeight="1" x14ac:dyDescent="0.25">
      <c r="A32" s="1"/>
      <c r="B32" s="98" t="s">
        <v>148</v>
      </c>
      <c r="C32" s="99"/>
      <c r="D32" s="100"/>
      <c r="E32" s="10">
        <v>-523799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119579244.75946487</v>
      </c>
      <c r="F33" s="13" t="s">
        <v>3</v>
      </c>
      <c r="G33" s="1"/>
    </row>
    <row r="34" spans="1:7" ht="27" customHeight="1" x14ac:dyDescent="0.25">
      <c r="A34" s="1"/>
      <c r="B34" s="91" t="s">
        <v>252</v>
      </c>
      <c r="C34" s="92"/>
      <c r="D34" s="92"/>
      <c r="E34" s="92"/>
      <c r="F34" s="93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DMzcETP9S+mVUp2gOez41r/IJL4HLFJcx/+wqRuFj6mYtqABQZsWg4oZdusUQ72SUWelpXTubaZSh/8g2AWRw==" saltValue="cABBde5jiIPoRjK2qMCbhQ==" spinCount="100000" sheet="1" objects="1" scenarios="1"/>
  <mergeCells count="20">
    <mergeCell ref="B26:D26"/>
    <mergeCell ref="B32:D32"/>
    <mergeCell ref="B22:D22"/>
    <mergeCell ref="B23:D23"/>
    <mergeCell ref="B34:F34"/>
    <mergeCell ref="B27:D27"/>
    <mergeCell ref="B28:D28"/>
    <mergeCell ref="B30:D30"/>
    <mergeCell ref="B3:F4"/>
    <mergeCell ref="B9:D9"/>
    <mergeCell ref="B10:D10"/>
    <mergeCell ref="B11:D11"/>
    <mergeCell ref="B12:D12"/>
    <mergeCell ref="B18:D18"/>
    <mergeCell ref="B19:D19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94" t="s">
        <v>130</v>
      </c>
      <c r="C2" s="94"/>
      <c r="D2" s="94"/>
      <c r="E2" s="94"/>
      <c r="F2" s="94"/>
      <c r="G2" s="94"/>
      <c r="H2" s="94"/>
      <c r="I2" s="1"/>
    </row>
    <row r="3" spans="1:9" ht="28.5" customHeight="1" x14ac:dyDescent="0.25">
      <c r="A3" s="1"/>
      <c r="B3" s="94"/>
      <c r="C3" s="94"/>
      <c r="D3" s="94"/>
      <c r="E3" s="94"/>
      <c r="F3" s="94"/>
      <c r="G3" s="94"/>
      <c r="H3" s="94"/>
      <c r="I3" s="1"/>
    </row>
    <row r="4" spans="1:9" ht="14.25" customHeight="1" x14ac:dyDescent="0.2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25">
      <c r="A5" s="1"/>
      <c r="B5" s="101" t="s">
        <v>56</v>
      </c>
      <c r="C5" s="102"/>
      <c r="D5" s="102"/>
      <c r="E5" s="102"/>
      <c r="F5" s="102"/>
      <c r="G5" s="102"/>
      <c r="H5" s="103"/>
      <c r="I5" s="1"/>
    </row>
    <row r="6" spans="1:9" x14ac:dyDescent="0.25">
      <c r="A6" s="1"/>
      <c r="B6" s="106" t="s">
        <v>45</v>
      </c>
      <c r="C6" s="107"/>
      <c r="D6" s="107"/>
      <c r="E6" s="107"/>
      <c r="F6" s="108"/>
      <c r="G6" s="24">
        <v>18896515</v>
      </c>
      <c r="H6" s="14" t="s">
        <v>3</v>
      </c>
      <c r="I6" s="1"/>
    </row>
    <row r="7" spans="1:9" x14ac:dyDescent="0.25">
      <c r="A7" s="1"/>
      <c r="B7" s="91" t="s">
        <v>145</v>
      </c>
      <c r="C7" s="92"/>
      <c r="D7" s="92"/>
      <c r="E7" s="92"/>
      <c r="F7" s="93"/>
      <c r="G7" s="53">
        <v>0</v>
      </c>
      <c r="H7" s="14" t="s">
        <v>3</v>
      </c>
      <c r="I7" s="1"/>
    </row>
    <row r="8" spans="1:9" x14ac:dyDescent="0.25">
      <c r="A8" s="1"/>
      <c r="B8" s="106" t="s">
        <v>46</v>
      </c>
      <c r="C8" s="107"/>
      <c r="D8" s="107"/>
      <c r="E8" s="107"/>
      <c r="F8" s="108"/>
      <c r="G8" s="24">
        <f>SUM(G6:G7)*'Fane 14. Nøgletal'!C29</f>
        <v>377930.3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01" t="s">
        <v>57</v>
      </c>
      <c r="C11" s="102"/>
      <c r="D11" s="102"/>
      <c r="E11" s="102"/>
      <c r="F11" s="102"/>
      <c r="G11" s="102"/>
      <c r="H11" s="103"/>
      <c r="I11" s="1"/>
    </row>
    <row r="12" spans="1:9" x14ac:dyDescent="0.25">
      <c r="A12" s="1"/>
      <c r="B12" s="106" t="s">
        <v>47</v>
      </c>
      <c r="C12" s="107"/>
      <c r="D12" s="107"/>
      <c r="E12" s="107"/>
      <c r="F12" s="108"/>
      <c r="G12" s="24">
        <f>(G6-G8)*(1+'Fane 14. Nøgletal'!C10)</f>
        <v>18842659.932250001</v>
      </c>
      <c r="H12" s="14" t="s">
        <v>3</v>
      </c>
      <c r="I12" s="1"/>
    </row>
    <row r="13" spans="1:9" ht="15" customHeight="1" x14ac:dyDescent="0.25">
      <c r="A13" s="1"/>
      <c r="B13" s="106" t="s">
        <v>146</v>
      </c>
      <c r="C13" s="107"/>
      <c r="D13" s="107"/>
      <c r="E13" s="107"/>
      <c r="F13" s="108"/>
      <c r="G13" s="53">
        <v>0</v>
      </c>
      <c r="H13" s="14" t="s">
        <v>3</v>
      </c>
      <c r="I13" s="1"/>
    </row>
    <row r="14" spans="1:9" x14ac:dyDescent="0.25">
      <c r="A14" s="1"/>
      <c r="B14" s="91" t="s">
        <v>143</v>
      </c>
      <c r="C14" s="92"/>
      <c r="D14" s="92"/>
      <c r="E14" s="92"/>
      <c r="F14" s="93"/>
      <c r="G14" s="53">
        <v>0</v>
      </c>
      <c r="H14" s="14" t="s">
        <v>3</v>
      </c>
      <c r="I14" s="1"/>
    </row>
    <row r="15" spans="1:9" x14ac:dyDescent="0.25">
      <c r="A15" s="1"/>
      <c r="B15" s="112" t="s">
        <v>48</v>
      </c>
      <c r="C15" s="113"/>
      <c r="D15" s="113"/>
      <c r="E15" s="113"/>
      <c r="F15" s="114"/>
      <c r="G15" s="53">
        <v>0</v>
      </c>
      <c r="H15" s="14" t="s">
        <v>3</v>
      </c>
      <c r="I15" s="1"/>
    </row>
    <row r="16" spans="1:9" x14ac:dyDescent="0.25">
      <c r="A16" s="1"/>
      <c r="B16" s="106" t="s">
        <v>49</v>
      </c>
      <c r="C16" s="107"/>
      <c r="D16" s="107"/>
      <c r="E16" s="107"/>
      <c r="F16" s="108"/>
      <c r="G16" s="24">
        <f>SUM(G12:G15)*'Fane 14. Nøgletal'!C29</f>
        <v>376853.198645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01" t="s">
        <v>58</v>
      </c>
      <c r="C19" s="102"/>
      <c r="D19" s="102"/>
      <c r="E19" s="102"/>
      <c r="F19" s="102"/>
      <c r="G19" s="102"/>
      <c r="H19" s="103"/>
      <c r="I19" s="1"/>
    </row>
    <row r="20" spans="1:9" x14ac:dyDescent="0.25">
      <c r="A20" s="1"/>
      <c r="B20" s="106" t="s">
        <v>50</v>
      </c>
      <c r="C20" s="107"/>
      <c r="D20" s="107"/>
      <c r="E20" s="107"/>
      <c r="F20" s="108"/>
      <c r="G20" s="24">
        <f>(SUM(G12:G13,G15)-(G16))*(1+'Fane 14. Nøgletal'!C10)</f>
        <v>18788958.35144309</v>
      </c>
      <c r="H20" s="14" t="s">
        <v>3</v>
      </c>
      <c r="I20" s="1"/>
    </row>
    <row r="21" spans="1:9" x14ac:dyDescent="0.25">
      <c r="A21" s="1"/>
      <c r="B21" s="112" t="s">
        <v>51</v>
      </c>
      <c r="C21" s="113"/>
      <c r="D21" s="113"/>
      <c r="E21" s="113"/>
      <c r="F21" s="114"/>
      <c r="G21" s="53">
        <v>0</v>
      </c>
      <c r="H21" s="14" t="s">
        <v>3</v>
      </c>
      <c r="I21" s="1"/>
    </row>
    <row r="22" spans="1:9" x14ac:dyDescent="0.25">
      <c r="A22" s="1"/>
      <c r="B22" s="106" t="s">
        <v>52</v>
      </c>
      <c r="C22" s="107"/>
      <c r="D22" s="107"/>
      <c r="E22" s="107"/>
      <c r="F22" s="108"/>
      <c r="G22" s="24">
        <f>SUM(G20:G21)*'Fane 14. Nøgletal'!C29</f>
        <v>375779.16702886182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01" t="s">
        <v>59</v>
      </c>
      <c r="C25" s="102"/>
      <c r="D25" s="102"/>
      <c r="E25" s="102"/>
      <c r="F25" s="102"/>
      <c r="G25" s="102"/>
      <c r="H25" s="103"/>
      <c r="I25" s="1"/>
    </row>
    <row r="26" spans="1:9" x14ac:dyDescent="0.25">
      <c r="A26" s="1"/>
      <c r="B26" s="106" t="s">
        <v>53</v>
      </c>
      <c r="C26" s="107"/>
      <c r="D26" s="107"/>
      <c r="E26" s="107"/>
      <c r="F26" s="108"/>
      <c r="G26" s="24">
        <f>(G20+G21-G22)*(1+'Fane 14. Nøgletal'!C12)</f>
        <v>18775918.814347189</v>
      </c>
      <c r="H26" s="14" t="s">
        <v>3</v>
      </c>
      <c r="I26" s="1"/>
    </row>
    <row r="27" spans="1:9" x14ac:dyDescent="0.25">
      <c r="A27" s="1"/>
      <c r="B27" s="112" t="s">
        <v>54</v>
      </c>
      <c r="C27" s="113"/>
      <c r="D27" s="113"/>
      <c r="E27" s="113"/>
      <c r="F27" s="114"/>
      <c r="G27" s="53">
        <v>0</v>
      </c>
      <c r="H27" s="14" t="s">
        <v>3</v>
      </c>
      <c r="I27" s="1"/>
    </row>
    <row r="28" spans="1:9" x14ac:dyDescent="0.25">
      <c r="A28" s="1"/>
      <c r="B28" s="106" t="s">
        <v>55</v>
      </c>
      <c r="C28" s="107"/>
      <c r="D28" s="107"/>
      <c r="E28" s="107"/>
      <c r="F28" s="108"/>
      <c r="G28" s="24">
        <f>(G26+G27)*'Fane 14. Nøgletal'!C29</f>
        <v>375518.37628694379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01" t="s">
        <v>62</v>
      </c>
      <c r="C31" s="102"/>
      <c r="D31" s="102"/>
      <c r="E31" s="102"/>
      <c r="F31" s="102"/>
      <c r="G31" s="102"/>
      <c r="H31" s="103"/>
      <c r="I31" s="1"/>
    </row>
    <row r="32" spans="1:9" x14ac:dyDescent="0.25">
      <c r="A32" s="1"/>
      <c r="B32" s="106" t="s">
        <v>63</v>
      </c>
      <c r="C32" s="107"/>
      <c r="D32" s="107"/>
      <c r="E32" s="107"/>
      <c r="F32" s="108"/>
      <c r="G32" s="24">
        <f>(G26+G27-G28)*(1+'Fane 14. Nøgletal'!C12)</f>
        <v>18762888.326690033</v>
      </c>
      <c r="H32" s="14" t="s">
        <v>3</v>
      </c>
      <c r="I32" s="1"/>
    </row>
    <row r="33" spans="1:9" x14ac:dyDescent="0.25">
      <c r="A33" s="1"/>
      <c r="B33" s="106" t="s">
        <v>171</v>
      </c>
      <c r="C33" s="107"/>
      <c r="D33" s="107"/>
      <c r="E33" s="107"/>
      <c r="F33" s="108"/>
      <c r="G33" s="24">
        <v>1341.1344315600002</v>
      </c>
      <c r="H33" s="14" t="s">
        <v>3</v>
      </c>
      <c r="I33" s="1"/>
    </row>
    <row r="34" spans="1:9" x14ac:dyDescent="0.25">
      <c r="A34" s="1"/>
      <c r="B34" s="106" t="s">
        <v>64</v>
      </c>
      <c r="C34" s="107"/>
      <c r="D34" s="107"/>
      <c r="E34" s="107"/>
      <c r="F34" s="108"/>
      <c r="G34" s="24">
        <f>(G32+G33)*'Fane 14. Nøgletal'!C29</f>
        <v>375284.58922243188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01" t="s">
        <v>232</v>
      </c>
      <c r="C37" s="102"/>
      <c r="D37" s="102"/>
      <c r="E37" s="102"/>
      <c r="F37" s="102"/>
      <c r="G37" s="102"/>
      <c r="H37" s="103"/>
      <c r="I37" s="1"/>
    </row>
    <row r="38" spans="1:9" x14ac:dyDescent="0.25">
      <c r="A38" s="1"/>
      <c r="B38" s="106" t="s">
        <v>84</v>
      </c>
      <c r="C38" s="107"/>
      <c r="D38" s="107"/>
      <c r="E38" s="107"/>
      <c r="F38" s="108"/>
      <c r="G38" s="24">
        <f>(G32+G33-G34)*(1+'Fane 14. Nøgletal'!C14)</f>
        <v>18449628.389976431</v>
      </c>
      <c r="H38" s="14" t="s">
        <v>3</v>
      </c>
      <c r="I38" s="1"/>
    </row>
    <row r="39" spans="1:9" x14ac:dyDescent="0.25">
      <c r="A39" s="1"/>
      <c r="B39" s="106" t="s">
        <v>236</v>
      </c>
      <c r="C39" s="107"/>
      <c r="D39" s="107"/>
      <c r="E39" s="107"/>
      <c r="F39" s="108"/>
      <c r="G39" s="24">
        <f>SUM('Fane 2.1. Økonomisk ramme 2022'!C10,'Fane 2.1. Økonomisk ramme 2022'!C12,'Fane 2.1. Økonomisk ramme 2022'!C14)*(1+'Fane 14. Nøgletal'!C14)</f>
        <v>26673.175363220005</v>
      </c>
      <c r="H39" s="14" t="s">
        <v>3</v>
      </c>
      <c r="I39" s="1"/>
    </row>
    <row r="40" spans="1:9" x14ac:dyDescent="0.25">
      <c r="A40" s="1"/>
      <c r="B40" s="106" t="s">
        <v>234</v>
      </c>
      <c r="C40" s="107"/>
      <c r="D40" s="107"/>
      <c r="E40" s="107"/>
      <c r="F40" s="108"/>
      <c r="G40" s="24">
        <f>(G38+G39)*'Fane 14. Nøgletal'!C29</f>
        <v>369526.03130679304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01" t="s">
        <v>233</v>
      </c>
      <c r="C43" s="102"/>
      <c r="D43" s="102"/>
      <c r="E43" s="102"/>
      <c r="F43" s="102"/>
      <c r="G43" s="102"/>
      <c r="H43" s="103"/>
      <c r="I43" s="1"/>
    </row>
    <row r="44" spans="1:9" x14ac:dyDescent="0.25">
      <c r="A44" s="1"/>
      <c r="B44" s="106" t="s">
        <v>83</v>
      </c>
      <c r="C44" s="107"/>
      <c r="D44" s="107"/>
      <c r="E44" s="107"/>
      <c r="F44" s="108"/>
      <c r="G44" s="24">
        <f>(G38+G39-G40)*(1+'Fane 14. Nøgletal'!C14)</f>
        <v>18166527.893295169</v>
      </c>
      <c r="H44" s="14" t="s">
        <v>3</v>
      </c>
      <c r="I44" s="1"/>
    </row>
    <row r="45" spans="1:9" x14ac:dyDescent="0.25">
      <c r="A45" s="1"/>
      <c r="B45" s="109" t="s">
        <v>237</v>
      </c>
      <c r="C45" s="110"/>
      <c r="D45" s="110"/>
      <c r="E45" s="110"/>
      <c r="F45" s="111"/>
      <c r="G45" s="24">
        <f>G39*(1+'Fane 14. Nøgletal'!C14)</f>
        <v>26761.196841918634</v>
      </c>
      <c r="H45" s="14" t="s">
        <v>3</v>
      </c>
      <c r="I45" s="1"/>
    </row>
    <row r="46" spans="1:9" x14ac:dyDescent="0.25">
      <c r="A46" s="1"/>
      <c r="B46" s="106" t="s">
        <v>97</v>
      </c>
      <c r="C46" s="107"/>
      <c r="D46" s="107"/>
      <c r="E46" s="107"/>
      <c r="F46" s="108"/>
      <c r="G46" s="53">
        <v>0</v>
      </c>
      <c r="H46" s="14" t="s">
        <v>3</v>
      </c>
      <c r="I46" s="1"/>
    </row>
    <row r="47" spans="1:9" x14ac:dyDescent="0.25">
      <c r="A47" s="1"/>
      <c r="B47" s="106" t="s">
        <v>235</v>
      </c>
      <c r="C47" s="107"/>
      <c r="D47" s="107"/>
      <c r="E47" s="107"/>
      <c r="F47" s="108"/>
      <c r="G47" s="24">
        <f>(G44+G46)*'Fane 14. Nøgletal'!C29</f>
        <v>363330.55786590336</v>
      </c>
      <c r="H47" s="14" t="s">
        <v>3</v>
      </c>
      <c r="I47" s="1"/>
    </row>
    <row r="48" spans="1:9" x14ac:dyDescent="0.2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1" t="s">
        <v>172</v>
      </c>
      <c r="C52" s="102"/>
      <c r="D52" s="102"/>
      <c r="E52" s="102"/>
      <c r="F52" s="102"/>
      <c r="G52" s="102"/>
      <c r="H52" s="103"/>
      <c r="I52" s="1"/>
    </row>
    <row r="53" spans="1:9" x14ac:dyDescent="0.25">
      <c r="A53" s="1"/>
      <c r="B53" s="106" t="s">
        <v>173</v>
      </c>
      <c r="C53" s="107"/>
      <c r="D53" s="107"/>
      <c r="E53" s="107"/>
      <c r="F53" s="108"/>
      <c r="G53" s="24">
        <f>(G44+G46-G47)*(1+'Fane 14. Nøgletal'!C14)</f>
        <v>17861947.886636183</v>
      </c>
      <c r="H53" s="14" t="s">
        <v>3</v>
      </c>
      <c r="I53" s="1"/>
    </row>
    <row r="54" spans="1:9" x14ac:dyDescent="0.25">
      <c r="A54" s="1"/>
      <c r="B54" s="106" t="s">
        <v>174</v>
      </c>
      <c r="C54" s="107"/>
      <c r="D54" s="107"/>
      <c r="E54" s="107"/>
      <c r="F54" s="108"/>
      <c r="G54" s="53">
        <v>0</v>
      </c>
      <c r="H54" s="14" t="s">
        <v>3</v>
      </c>
      <c r="I54" s="1"/>
    </row>
    <row r="55" spans="1:9" x14ac:dyDescent="0.25">
      <c r="A55" s="1"/>
      <c r="B55" s="106" t="s">
        <v>175</v>
      </c>
      <c r="C55" s="107"/>
      <c r="D55" s="107"/>
      <c r="E55" s="107"/>
      <c r="F55" s="108"/>
      <c r="G55" s="24">
        <f>(G53+G54)*'Fane 14. Nøgletal'!C29</f>
        <v>357238.95773272368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58" t="s">
        <v>201</v>
      </c>
      <c r="C58" s="59"/>
      <c r="D58" s="59"/>
      <c r="E58" s="59"/>
      <c r="F58" s="59"/>
      <c r="G58" s="59"/>
      <c r="H58" s="60"/>
      <c r="I58" s="1"/>
    </row>
    <row r="59" spans="1:9" x14ac:dyDescent="0.25">
      <c r="A59" s="1"/>
      <c r="B59" s="64" t="s">
        <v>202</v>
      </c>
      <c r="C59" s="65"/>
      <c r="D59" s="65"/>
      <c r="E59" s="65"/>
      <c r="F59" s="66"/>
      <c r="G59" s="24">
        <f>(G53+G54-G55)*(1+'Fane 14. Nøgletal'!C14)</f>
        <v>17562474.468368843</v>
      </c>
      <c r="H59" s="14" t="s">
        <v>3</v>
      </c>
      <c r="I59" s="1"/>
    </row>
    <row r="60" spans="1:9" x14ac:dyDescent="0.25">
      <c r="A60" s="1"/>
      <c r="B60" s="64" t="s">
        <v>203</v>
      </c>
      <c r="C60" s="65"/>
      <c r="D60" s="65"/>
      <c r="E60" s="65"/>
      <c r="F60" s="66"/>
      <c r="G60" s="53">
        <v>0</v>
      </c>
      <c r="H60" s="14" t="s">
        <v>3</v>
      </c>
      <c r="I60" s="1"/>
    </row>
    <row r="61" spans="1:9" x14ac:dyDescent="0.25">
      <c r="A61" s="1"/>
      <c r="B61" s="64" t="s">
        <v>204</v>
      </c>
      <c r="C61" s="65"/>
      <c r="D61" s="65"/>
      <c r="E61" s="65"/>
      <c r="F61" s="66"/>
      <c r="G61" s="24">
        <f>(G59+G60)*'Fane 14. Nøgletal'!C29</f>
        <v>351249.4893673769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7ElQj6sjhHYMtPY1NB9ShtNS1hZnUVh8L/REvnLxGkwmtMcehFgWq3DSymahClDLIUSdgPgYGH2vcet65X4Ixw==" saltValue="QlUa9vALpoZgwn+OxSY4HQ==" spinCount="100000" sheet="1" objects="1" scenarios="1"/>
  <mergeCells count="36">
    <mergeCell ref="B12:F12"/>
    <mergeCell ref="B11:H11"/>
    <mergeCell ref="B7:F7"/>
    <mergeCell ref="B2:H3"/>
    <mergeCell ref="B25:H25"/>
    <mergeCell ref="B5:H5"/>
    <mergeCell ref="B6:F6"/>
    <mergeCell ref="B8:F8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85546875" style="2" bestFit="1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5" t="s">
        <v>131</v>
      </c>
      <c r="C1" s="115"/>
      <c r="D1" s="115"/>
      <c r="E1" s="115"/>
      <c r="F1" s="115"/>
      <c r="G1" s="115"/>
      <c r="H1" s="115"/>
      <c r="I1" s="1"/>
    </row>
    <row r="2" spans="1:9" ht="15" customHeight="1" x14ac:dyDescent="0.25">
      <c r="A2" s="1"/>
      <c r="B2" s="115"/>
      <c r="C2" s="115"/>
      <c r="D2" s="115"/>
      <c r="E2" s="115"/>
      <c r="F2" s="115"/>
      <c r="G2" s="115"/>
      <c r="H2" s="115"/>
      <c r="I2" s="1"/>
    </row>
    <row r="3" spans="1:9" ht="15" customHeight="1" x14ac:dyDescent="0.25">
      <c r="A3" s="1"/>
      <c r="B3" s="116"/>
      <c r="C3" s="116"/>
      <c r="D3" s="116"/>
      <c r="E3" s="116"/>
      <c r="F3" s="116"/>
      <c r="G3" s="116"/>
      <c r="H3" s="116"/>
      <c r="I3" s="1"/>
    </row>
    <row r="4" spans="1:9" x14ac:dyDescent="0.25">
      <c r="A4" s="1"/>
      <c r="B4" s="101" t="s">
        <v>60</v>
      </c>
      <c r="C4" s="102"/>
      <c r="D4" s="102"/>
      <c r="E4" s="102"/>
      <c r="F4" s="102"/>
      <c r="G4" s="102"/>
      <c r="H4" s="103"/>
      <c r="I4" s="1"/>
    </row>
    <row r="5" spans="1:9" x14ac:dyDescent="0.25">
      <c r="A5" s="1"/>
      <c r="B5" s="106" t="s">
        <v>65</v>
      </c>
      <c r="C5" s="107"/>
      <c r="D5" s="107"/>
      <c r="E5" s="107"/>
      <c r="F5" s="108"/>
      <c r="G5" s="24">
        <v>45368092</v>
      </c>
      <c r="H5" s="14" t="s">
        <v>3</v>
      </c>
      <c r="I5" s="1"/>
    </row>
    <row r="6" spans="1:9" x14ac:dyDescent="0.25">
      <c r="A6" s="1"/>
      <c r="B6" s="106" t="s">
        <v>61</v>
      </c>
      <c r="C6" s="107"/>
      <c r="D6" s="107"/>
      <c r="E6" s="107"/>
      <c r="F6" s="108"/>
      <c r="G6" s="24">
        <f>G5*'Fane 14. Nøgletal'!C19</f>
        <v>412849.6372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1" t="s">
        <v>66</v>
      </c>
      <c r="C9" s="102"/>
      <c r="D9" s="102"/>
      <c r="E9" s="102"/>
      <c r="F9" s="102"/>
      <c r="G9" s="102"/>
      <c r="H9" s="103"/>
      <c r="I9" s="1"/>
    </row>
    <row r="10" spans="1:9" x14ac:dyDescent="0.25">
      <c r="A10" s="1"/>
      <c r="B10" s="106" t="s">
        <v>67</v>
      </c>
      <c r="C10" s="107"/>
      <c r="D10" s="107"/>
      <c r="E10" s="107"/>
      <c r="F10" s="108"/>
      <c r="G10" s="24">
        <f>(G5-G6)*(1+'Fane 14. Nøgletal'!C10)</f>
        <v>45741959.104149006</v>
      </c>
      <c r="H10" s="14" t="s">
        <v>3</v>
      </c>
      <c r="I10" s="1"/>
    </row>
    <row r="11" spans="1:9" x14ac:dyDescent="0.25">
      <c r="A11" s="1"/>
      <c r="B11" s="106" t="s">
        <v>147</v>
      </c>
      <c r="C11" s="107"/>
      <c r="D11" s="107"/>
      <c r="E11" s="107"/>
      <c r="F11" s="108"/>
      <c r="G11" s="24">
        <v>-2190616.6516207349</v>
      </c>
      <c r="H11" s="14" t="s">
        <v>3</v>
      </c>
      <c r="I11" s="1"/>
    </row>
    <row r="12" spans="1:9" x14ac:dyDescent="0.25">
      <c r="A12" s="1"/>
      <c r="B12" s="112" t="s">
        <v>68</v>
      </c>
      <c r="C12" s="113"/>
      <c r="D12" s="113"/>
      <c r="E12" s="113"/>
      <c r="F12" s="114"/>
      <c r="G12" s="53">
        <v>0</v>
      </c>
      <c r="H12" s="14" t="s">
        <v>3</v>
      </c>
      <c r="I12" s="1"/>
    </row>
    <row r="13" spans="1:9" x14ac:dyDescent="0.25">
      <c r="A13" s="1"/>
      <c r="B13" s="106" t="s">
        <v>69</v>
      </c>
      <c r="C13" s="107"/>
      <c r="D13" s="107"/>
      <c r="E13" s="107"/>
      <c r="F13" s="108"/>
      <c r="G13" s="24">
        <f>SUM(G10:G12)*'Fane 14. Nøgletal'!C20</f>
        <v>770858.76140975032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1" t="s">
        <v>70</v>
      </c>
      <c r="C16" s="102"/>
      <c r="D16" s="102"/>
      <c r="E16" s="102"/>
      <c r="F16" s="102"/>
      <c r="G16" s="102"/>
      <c r="H16" s="103"/>
      <c r="I16" s="1"/>
    </row>
    <row r="17" spans="1:9" x14ac:dyDescent="0.25">
      <c r="A17" s="1"/>
      <c r="B17" s="106" t="s">
        <v>71</v>
      </c>
      <c r="C17" s="107"/>
      <c r="D17" s="107"/>
      <c r="E17" s="107"/>
      <c r="F17" s="108"/>
      <c r="G17" s="24">
        <f>(SUM(G10:G12)-G13)*(1+'Fane 14. Nøgletal'!C10)</f>
        <v>43529142.155713096</v>
      </c>
      <c r="H17" s="14" t="s">
        <v>3</v>
      </c>
      <c r="I17" s="1"/>
    </row>
    <row r="18" spans="1:9" x14ac:dyDescent="0.25">
      <c r="A18" s="1"/>
      <c r="B18" s="112" t="s">
        <v>72</v>
      </c>
      <c r="C18" s="113"/>
      <c r="D18" s="113"/>
      <c r="E18" s="113"/>
      <c r="F18" s="114"/>
      <c r="G18" s="24">
        <v>7379302.128524648</v>
      </c>
      <c r="H18" s="14" t="s">
        <v>3</v>
      </c>
      <c r="I18" s="1"/>
    </row>
    <row r="19" spans="1:9" x14ac:dyDescent="0.25">
      <c r="A19" s="1"/>
      <c r="B19" s="106" t="s">
        <v>73</v>
      </c>
      <c r="C19" s="107"/>
      <c r="D19" s="107"/>
      <c r="E19" s="107"/>
      <c r="F19" s="108"/>
      <c r="G19" s="24">
        <f>G17*'Fane 14. Nøgletal'!C20+G18*'Fane 14. Nøgletal'!C21</f>
        <v>834665.74467428622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1" t="s">
        <v>74</v>
      </c>
      <c r="C22" s="102"/>
      <c r="D22" s="102"/>
      <c r="E22" s="102"/>
      <c r="F22" s="102"/>
      <c r="G22" s="102"/>
      <c r="H22" s="103"/>
      <c r="I22" s="1"/>
    </row>
    <row r="23" spans="1:9" x14ac:dyDescent="0.25">
      <c r="A23" s="1"/>
      <c r="B23" s="106" t="s">
        <v>75</v>
      </c>
      <c r="C23" s="107"/>
      <c r="D23" s="107"/>
      <c r="E23" s="107"/>
      <c r="F23" s="108"/>
      <c r="G23" s="24">
        <f>(G17+G18-G19)*(1+'Fane 14. Nøgletal'!C12)</f>
        <v>51060231.976792857</v>
      </c>
      <c r="H23" s="14" t="s">
        <v>3</v>
      </c>
      <c r="I23" s="1"/>
    </row>
    <row r="24" spans="1:9" x14ac:dyDescent="0.25">
      <c r="A24" s="1"/>
      <c r="B24" s="112" t="s">
        <v>76</v>
      </c>
      <c r="C24" s="113"/>
      <c r="D24" s="113"/>
      <c r="E24" s="113"/>
      <c r="F24" s="114"/>
      <c r="G24" s="24">
        <v>242004.43921896003</v>
      </c>
      <c r="H24" s="14" t="s">
        <v>3</v>
      </c>
      <c r="I24" s="1"/>
    </row>
    <row r="25" spans="1:9" x14ac:dyDescent="0.25">
      <c r="A25" s="1"/>
      <c r="B25" s="106" t="s">
        <v>77</v>
      </c>
      <c r="C25" s="107"/>
      <c r="D25" s="107"/>
      <c r="E25" s="107"/>
      <c r="F25" s="108"/>
      <c r="G25" s="24">
        <f>(G23+G24)*'Fane 14. Nøgletal'!C22</f>
        <v>1456983.5142147357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1" t="s">
        <v>78</v>
      </c>
      <c r="C28" s="102"/>
      <c r="D28" s="102"/>
      <c r="E28" s="102"/>
      <c r="F28" s="102"/>
      <c r="G28" s="102"/>
      <c r="H28" s="103"/>
      <c r="I28" s="1"/>
    </row>
    <row r="29" spans="1:9" x14ac:dyDescent="0.25">
      <c r="A29" s="1"/>
      <c r="B29" s="106" t="s">
        <v>79</v>
      </c>
      <c r="C29" s="107"/>
      <c r="D29" s="107"/>
      <c r="E29" s="107"/>
      <c r="F29" s="108"/>
      <c r="G29" s="24">
        <f>(G23+G24-G25)*(1+'Fane 14. Nøgletal'!C12)</f>
        <v>50827204.383962482</v>
      </c>
      <c r="H29" s="14" t="s">
        <v>3</v>
      </c>
      <c r="I29" s="1"/>
    </row>
    <row r="30" spans="1:9" x14ac:dyDescent="0.25">
      <c r="A30" s="1"/>
      <c r="B30" s="106" t="s">
        <v>176</v>
      </c>
      <c r="C30" s="107"/>
      <c r="D30" s="107"/>
      <c r="E30" s="107"/>
      <c r="F30" s="108"/>
      <c r="G30" s="24">
        <v>18492357.616797958</v>
      </c>
      <c r="H30" s="14" t="s">
        <v>3</v>
      </c>
      <c r="I30" s="1"/>
    </row>
    <row r="31" spans="1:9" x14ac:dyDescent="0.25">
      <c r="A31" s="1"/>
      <c r="B31" s="106" t="s">
        <v>80</v>
      </c>
      <c r="C31" s="107"/>
      <c r="D31" s="107"/>
      <c r="E31" s="107"/>
      <c r="F31" s="108"/>
      <c r="G31" s="24">
        <f>G29*'Fane 14. Nøgletal'!C22+G30*'Fane 14. Nøgletal'!C23</f>
        <v>1952032.4389664782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1" t="s">
        <v>238</v>
      </c>
      <c r="C34" s="102"/>
      <c r="D34" s="102"/>
      <c r="E34" s="102"/>
      <c r="F34" s="102"/>
      <c r="G34" s="102"/>
      <c r="H34" s="103"/>
      <c r="I34" s="1"/>
    </row>
    <row r="35" spans="1:9" x14ac:dyDescent="0.25">
      <c r="A35" s="1"/>
      <c r="B35" s="106" t="s">
        <v>82</v>
      </c>
      <c r="C35" s="107"/>
      <c r="D35" s="107"/>
      <c r="E35" s="107"/>
      <c r="F35" s="108"/>
      <c r="G35" s="24">
        <f>(G29+G30-G31)*(1+'Fane 14. Nøgletal'!C14)</f>
        <v>67589842.409347877</v>
      </c>
      <c r="H35" s="14" t="s">
        <v>3</v>
      </c>
      <c r="I35" s="1"/>
    </row>
    <row r="36" spans="1:9" x14ac:dyDescent="0.25">
      <c r="A36" s="1"/>
      <c r="B36" s="106" t="s">
        <v>240</v>
      </c>
      <c r="C36" s="107"/>
      <c r="D36" s="107"/>
      <c r="E36" s="107"/>
      <c r="F36" s="108"/>
      <c r="G36" s="24">
        <f>SUM('Fane 2.1. Økonomisk ramme 2022'!C11,'Fane 2.1. Økonomisk ramme 2022'!C13,'Fane 2.1. Økonomisk ramme 2022'!C15)*(1+'Fane 14. Nøgletal'!C14)</f>
        <v>2810836.5531794517</v>
      </c>
      <c r="H36" s="14" t="s">
        <v>3</v>
      </c>
      <c r="I36" s="1"/>
    </row>
    <row r="37" spans="1:9" x14ac:dyDescent="0.25">
      <c r="A37" s="1"/>
      <c r="B37" s="106" t="s">
        <v>239</v>
      </c>
      <c r="C37" s="107"/>
      <c r="D37" s="107"/>
      <c r="E37" s="107"/>
      <c r="F37" s="108"/>
      <c r="G37" s="24">
        <f>(G35+G36)*'Fane 14. Nøgletal'!C24</f>
        <v>1041930.0486454046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1" t="s">
        <v>85</v>
      </c>
      <c r="C40" s="102"/>
      <c r="D40" s="102"/>
      <c r="E40" s="102"/>
      <c r="F40" s="102"/>
      <c r="G40" s="102"/>
      <c r="H40" s="103"/>
      <c r="I40" s="1"/>
    </row>
    <row r="41" spans="1:9" x14ac:dyDescent="0.25">
      <c r="A41" s="1"/>
      <c r="B41" s="106" t="s">
        <v>81</v>
      </c>
      <c r="C41" s="107"/>
      <c r="D41" s="107"/>
      <c r="E41" s="107"/>
      <c r="F41" s="108"/>
      <c r="G41" s="24">
        <f>(G35+G36-G37)*(1+'Fane 14. Nøgletal'!C14)</f>
        <v>69587632.785297737</v>
      </c>
      <c r="H41" s="14" t="s">
        <v>3</v>
      </c>
      <c r="I41" s="1"/>
    </row>
    <row r="42" spans="1:9" x14ac:dyDescent="0.25">
      <c r="A42" s="1"/>
      <c r="B42" s="47" t="s">
        <v>242</v>
      </c>
      <c r="C42" s="65"/>
      <c r="D42" s="65"/>
      <c r="E42" s="65"/>
      <c r="F42" s="66"/>
      <c r="G42" s="24">
        <f>G36*(1+'Fane 14. Nøgletal'!C14)</f>
        <v>2820112.313804944</v>
      </c>
      <c r="H42" s="14" t="s">
        <v>3</v>
      </c>
      <c r="I42" s="1"/>
    </row>
    <row r="43" spans="1:9" x14ac:dyDescent="0.25">
      <c r="A43" s="1"/>
      <c r="B43" s="106" t="s">
        <v>101</v>
      </c>
      <c r="C43" s="107"/>
      <c r="D43" s="107"/>
      <c r="E43" s="107"/>
      <c r="F43" s="108"/>
      <c r="G43" s="53">
        <v>0</v>
      </c>
      <c r="H43" s="14" t="s">
        <v>3</v>
      </c>
      <c r="I43" s="1"/>
    </row>
    <row r="44" spans="1:9" x14ac:dyDescent="0.25">
      <c r="A44" s="1"/>
      <c r="B44" s="106" t="s">
        <v>241</v>
      </c>
      <c r="C44" s="107"/>
      <c r="D44" s="107"/>
      <c r="E44" s="107"/>
      <c r="F44" s="108"/>
      <c r="G44" s="24">
        <f>(G41+G43)*'Fane 14. Nøgletal'!C24</f>
        <v>1029896.9652224066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01" t="s">
        <v>181</v>
      </c>
      <c r="C52" s="102"/>
      <c r="D52" s="102"/>
      <c r="E52" s="102"/>
      <c r="F52" s="102"/>
      <c r="G52" s="102"/>
      <c r="H52" s="103"/>
      <c r="I52" s="1"/>
    </row>
    <row r="53" spans="1:9" x14ac:dyDescent="0.25">
      <c r="A53" s="1"/>
      <c r="B53" s="106" t="s">
        <v>182</v>
      </c>
      <c r="C53" s="107"/>
      <c r="D53" s="107"/>
      <c r="E53" s="107"/>
      <c r="F53" s="108"/>
      <c r="G53" s="24">
        <f>(G41+G43-G44)*(1+'Fane 14. Nøgletal'!C14)</f>
        <v>68783976.348281592</v>
      </c>
      <c r="H53" s="14" t="s">
        <v>3</v>
      </c>
      <c r="I53" s="1"/>
    </row>
    <row r="54" spans="1:9" x14ac:dyDescent="0.25">
      <c r="A54" s="1"/>
      <c r="B54" s="106" t="s">
        <v>183</v>
      </c>
      <c r="C54" s="107"/>
      <c r="D54" s="107"/>
      <c r="E54" s="107"/>
      <c r="F54" s="108"/>
      <c r="G54" s="53">
        <v>0</v>
      </c>
      <c r="H54" s="14" t="s">
        <v>3</v>
      </c>
      <c r="I54" s="1"/>
    </row>
    <row r="55" spans="1:9" x14ac:dyDescent="0.25">
      <c r="A55" s="1"/>
      <c r="B55" s="106" t="s">
        <v>184</v>
      </c>
      <c r="C55" s="107"/>
      <c r="D55" s="107"/>
      <c r="E55" s="107"/>
      <c r="F55" s="108"/>
      <c r="G55" s="24">
        <f>(G53+G54)*'Fane 14. Nøgletal'!C24</f>
        <v>1018002.8499545676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01" t="s">
        <v>205</v>
      </c>
      <c r="C58" s="102"/>
      <c r="D58" s="102"/>
      <c r="E58" s="102"/>
      <c r="F58" s="102"/>
      <c r="G58" s="102"/>
      <c r="H58" s="103"/>
      <c r="I58" s="1"/>
    </row>
    <row r="59" spans="1:9" x14ac:dyDescent="0.25">
      <c r="A59" s="1"/>
      <c r="B59" s="106" t="s">
        <v>255</v>
      </c>
      <c r="C59" s="107"/>
      <c r="D59" s="107"/>
      <c r="E59" s="107"/>
      <c r="F59" s="108"/>
      <c r="G59" s="24">
        <f>(G53+G54-G55)*(1+'Fane 14. Nøgletal'!C14)</f>
        <v>67989601.210871518</v>
      </c>
      <c r="H59" s="14" t="s">
        <v>3</v>
      </c>
      <c r="I59" s="1"/>
    </row>
    <row r="60" spans="1:9" x14ac:dyDescent="0.25">
      <c r="A60" s="1"/>
      <c r="B60" s="106" t="s">
        <v>256</v>
      </c>
      <c r="C60" s="107"/>
      <c r="D60" s="107"/>
      <c r="E60" s="107"/>
      <c r="F60" s="108"/>
      <c r="G60" s="53">
        <v>0</v>
      </c>
      <c r="H60" s="14" t="s">
        <v>3</v>
      </c>
      <c r="I60" s="1"/>
    </row>
    <row r="61" spans="1:9" x14ac:dyDescent="0.25">
      <c r="A61" s="1"/>
      <c r="B61" s="106" t="s">
        <v>257</v>
      </c>
      <c r="C61" s="107"/>
      <c r="D61" s="107"/>
      <c r="E61" s="107"/>
      <c r="F61" s="108"/>
      <c r="G61" s="24">
        <f>(G59+G60)*'Fane 14. Nøgletal'!C24</f>
        <v>1006246.0979208985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2Ln+HfIITwJuMUG/v85hCIaZY53iVpPqOGRupBH1Ru6C5cAKAuM112QunSP99OlT15rjuopHMvDq5xgbYhhZiQ==" saltValue="OXcbj4GDLEssXgtwTj94Yw==" spinCount="100000" sheet="1" objects="1" scenarios="1"/>
  <mergeCells count="37"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23:F23"/>
    <mergeCell ref="B24:F24"/>
    <mergeCell ref="B25:F25"/>
    <mergeCell ref="B41:F41"/>
    <mergeCell ref="B28:H28"/>
    <mergeCell ref="B29:F29"/>
    <mergeCell ref="B31:F31"/>
    <mergeCell ref="B34:H34"/>
    <mergeCell ref="B36:F36"/>
    <mergeCell ref="B37:F37"/>
    <mergeCell ref="B40:H40"/>
    <mergeCell ref="B58:H58"/>
    <mergeCell ref="B59:F59"/>
    <mergeCell ref="B60:F60"/>
    <mergeCell ref="B61:F61"/>
    <mergeCell ref="B43:F4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96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10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6" t="s">
        <v>243</v>
      </c>
      <c r="C9" s="107"/>
      <c r="D9" s="107"/>
      <c r="E9" s="107"/>
      <c r="F9" s="108"/>
      <c r="G9" s="23">
        <v>1.6651253987267099E-2</v>
      </c>
      <c r="H9" s="14"/>
      <c r="I9" s="1"/>
    </row>
    <row r="10" spans="1:9" x14ac:dyDescent="0.25">
      <c r="A10" s="1"/>
      <c r="B10" s="106" t="s">
        <v>86</v>
      </c>
      <c r="C10" s="107"/>
      <c r="D10" s="107"/>
      <c r="E10" s="107"/>
      <c r="F10" s="108"/>
      <c r="G10" s="23">
        <v>9.8311927753692557E-3</v>
      </c>
      <c r="H10" s="14"/>
      <c r="I10" s="1"/>
    </row>
    <row r="11" spans="1:9" x14ac:dyDescent="0.25">
      <c r="A11" s="1"/>
      <c r="B11" s="106" t="s">
        <v>87</v>
      </c>
      <c r="C11" s="107"/>
      <c r="D11" s="107"/>
      <c r="E11" s="107"/>
      <c r="F11" s="108"/>
      <c r="G11" s="41">
        <v>3.183313140128484E-3</v>
      </c>
      <c r="H11" s="14"/>
      <c r="I11" s="1"/>
    </row>
    <row r="12" spans="1:9" x14ac:dyDescent="0.25">
      <c r="A12" s="1"/>
      <c r="B12" s="106" t="s">
        <v>206</v>
      </c>
      <c r="C12" s="107"/>
      <c r="D12" s="107"/>
      <c r="E12" s="107"/>
      <c r="F12" s="108"/>
      <c r="G12" s="41">
        <v>0.02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7" t="s">
        <v>207</v>
      </c>
      <c r="C14" s="117"/>
      <c r="D14" s="117"/>
      <c r="E14" s="117"/>
      <c r="F14" s="117"/>
      <c r="G14" s="117"/>
      <c r="H14" s="117"/>
      <c r="I14" s="1"/>
    </row>
    <row r="15" spans="1:9" ht="14.25" customHeight="1" x14ac:dyDescent="0.25">
      <c r="A15" s="18"/>
      <c r="B15" s="117"/>
      <c r="C15" s="117"/>
      <c r="D15" s="117"/>
      <c r="E15" s="117"/>
      <c r="F15" s="117"/>
      <c r="G15" s="117"/>
      <c r="H15" s="117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vEGhJxP4Xn4f8fqZRZYSN4tddcvUzeJPNDNxwRtk9Lt+I4dwlNaGl1B+TAnMnpvcZ9xmlz/HA8U2H2049BnQcw==" saltValue="dD9mvJQLL+AhMdWNl4J3o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Ingeborg Knuhtsen</cp:lastModifiedBy>
  <cp:lastPrinted>2016-06-14T12:57:30Z</cp:lastPrinted>
  <dcterms:created xsi:type="dcterms:W3CDTF">2016-06-02T08:51:18Z</dcterms:created>
  <dcterms:modified xsi:type="dcterms:W3CDTF">2022-12-22T10:30:14Z</dcterms:modified>
</cp:coreProperties>
</file>