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Rødovre AS (V09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5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<sst xmlns="http://schemas.openxmlformats.org/spreadsheetml/2006/main" count="619" uniqueCount="254">
  <si>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</si>
  <si>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</si>
  <si>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</si>
  <si>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</si>
  <si>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</si>
  <si>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</si>
  <si>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</si>
  <si>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</si>
  <si>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</si>
  <si>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</si>
  <si>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</si>
  <si>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</si>
  <si>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</si>
  <si>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</si>
  <si>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</si>
  <si>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</si>
  <si>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</si>
  <si>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</si>
  <si>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</si>
  <si>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</si>
  <si>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</si>
  <si>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</si>
  <si>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</si>
  <si>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</si>
  <si>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</si>
  <si>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</si>
  <si>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</si>
  <si>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</si>
  <si>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</si>
  <si>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</si>
  <si>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</si>
  <si>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</si>
  <si>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</si>
  <si>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</si>
  <si>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</si>
  <si>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</si>
  <si>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</si>
  <si>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</si>
  <si>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</si>
  <si>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</si>
  <si>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</si>
  <si>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</si>
  <si>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</si>
  <si>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</si>
  <si>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</si>
  <si>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</si>
  <si>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</si>
  <si>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</si>
  <si>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</si>
  <si>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</si>
  <si>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</si>
  <si>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</si>
  <si>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</si>
  <si>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</si>
  <si>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</si>
  <si>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</si>
  <si>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</si>
  <si>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</si>
  <si>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</si>
  <si>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</si>
  <si>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</si>
  <si>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</si>
  <si>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</si>
  <si>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</si>
  <si>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</si>
  <si>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</si>
  <si>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</si>
  <si>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</si>
  <si>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</si>
  <si>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</si>
  <si>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</si>
  <si>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</si>
  <si>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</si>
  <si>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</si>
  <si>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</si>
  <si>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</si>
  <si>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</si>
  <si>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</si>
  <si>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</si>
  <si>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</si>
  <si>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</si>
  <si>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</si>
  <si>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</si>
  <si>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</si>
  <si>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</si>
  <si>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</si>
  <si>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</si>
  <si>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</si>
  <si>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</si>
  <si>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</si>
  <si>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</si>
  <si>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</si>
  <si>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</si>
  <si>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</si>
  <si>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</si>
  <si>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</si>
  <si>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</si>
  <si>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</si>
  <si>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</si>
  <si>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</si>
  <si>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</si>
  <si>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</si>
  <si>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</si>
  <si>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</si>
  <si>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</si>
  <si>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</si>
  <si>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</si>
  <si>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</si>
  <si>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</si>
  <si>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</si>
  <si>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</si>
  <si>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</si>
  <si>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</si>
  <si>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</si>
  <si>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</si>
  <si>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</si>
  <si>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</si>
  <si>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</si>
  <si>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</si>
  <si>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</si>
  <si>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</si>
  <si>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</si>
  <si>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</si>
  <si>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</si>
  <si>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</si>
  <si>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</si>
  <si>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</si>
  <si>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</si>
  <si>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</si>
  <si>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</si>
  <si>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</si>
  <si>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</si>
  <si>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</si>
  <si>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</si>
  <si>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</si>
  <si>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</si>
  <si>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</si>
  <si>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</si>
  <si>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</si>
  <si>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</si>
  <si>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</si>
  <si>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</si>
  <si>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</si>
  <si>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</si>
  <si>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</si>
  <si>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</si>
  <si>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</si>
  <si>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</si>
  <si>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</si>
  <si>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</si>
  <si>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</si>
  <si>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</si>
  <si>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</si>
  <si>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</si>
  <si>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</si>
  <si>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</si>
  <si>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</si>
  <si>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</si>
  <si>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</si>
  <si>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</si>
  <si>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</si>
  <si>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</si>
  <si>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</si>
  <si>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</si>
  <si>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</si>
  <si>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</si>
  <si>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</si>
  <si>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</si>
  <si>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</si>
  <si>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</si>
  <si>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</si>
  <si>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</si>
  <si>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</si>
  <si>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</si>
  <si>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</si>
  <si>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</si>
  <si>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</si>
  <si>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</si>
  <si>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</si>
  <si>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</si>
  <si>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</si>
  <si>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</si>
  <si>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</si>
  <si>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</si>
  <si>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</si>
  <si>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</si>
  <si>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</si>
  <si>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</si>
  <si>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</si>
  <si>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</si>
  <si>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</si>
  <si>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</si>
  <si>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</si>
  <si>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</si>
  <si>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</si>
  <si>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</si>
  <si>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</si>
  <si>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</si>
  <si>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</si>
  <si>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</si>
  <si>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</si>
  <si>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</si>
  <si>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</si>
  <si>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</si>
  <si>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</si>
  <si>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</si>
  <si>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</si>
  <si>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</si>
  <si>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</si>
  <si>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</si>
  <si>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</si>
  <si>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</si>
  <si>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</si>
  <si>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</si>
  <si>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</si>
  <si>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</si>
  <si>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</si>
  <si>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</si>
  <si>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</si>
  <si>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</si>
  <si>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</si>
  <si>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</si>
  <si>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</si>
  <si>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</si>
  <si>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</si>
  <si>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</si>
  <si>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</si>
  <si>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</si>
  <si>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</si>
  <si>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</si>
  <si>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</si>
  <si>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</si>
  <si>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</si>
  <si>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</si>
  <si>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</si>
  <si>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</si>
  <si>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</si>
  <si>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</si>
  <si>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</si>
  <si>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</si>
  <si>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</si>
  <si>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</si>
  <si>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</si>
  <si>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</si>
  <si>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</si>
  <si>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</si>
  <si>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Ingen engangstillæg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</si>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</sst>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253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163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15</v>
      </c>
      <c r="D14" s="70" t="s">
        <v>83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35</v>
      </c>
      <c r="D15" s="70" t="s">
        <v>128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36</v>
      </c>
      <c r="D16" s="70" t="s">
        <v>180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127</v>
      </c>
      <c r="D17" s="70" t="s">
        <v>181</v>
      </c>
      <c r="E17" s="71"/>
      <c r="F17" s="71"/>
      <c r="G17" s="72"/>
      <c r="H17" s="1"/>
      <c r="I17" s="1"/>
    </row>
    <row r="18" spans="1:9" x14ac:dyDescent="0.25">
      <c r="A18" s="1"/>
      <c r="B18" s="1"/>
      <c r="C18" s="32" t="s">
        <v>111</v>
      </c>
      <c r="D18" s="79" t="s">
        <v>100</v>
      </c>
      <c r="E18" s="80"/>
      <c r="F18" s="80"/>
      <c r="G18" s="81"/>
      <c r="H18" s="1"/>
      <c r="I18" s="1"/>
    </row>
    <row r="19" spans="1:9" x14ac:dyDescent="0.25">
      <c r="A19" s="1"/>
      <c r="B19" s="1"/>
      <c r="C19" s="32" t="s">
        <v>112</v>
      </c>
      <c r="D19" s="79" t="s">
        <v>101</v>
      </c>
      <c r="E19" s="80"/>
      <c r="F19" s="80"/>
      <c r="G19" s="81"/>
      <c r="H19" s="1"/>
      <c r="I19" s="1"/>
    </row>
    <row r="20" spans="1:9" x14ac:dyDescent="0.25">
      <c r="A20" s="1"/>
      <c r="B20" s="1"/>
      <c r="C20" s="32" t="s">
        <v>7</v>
      </c>
      <c r="D20" s="79" t="s">
        <v>9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113</v>
      </c>
      <c r="D21" s="85" t="s">
        <v>12</v>
      </c>
      <c r="E21" s="86"/>
      <c r="F21" s="86"/>
      <c r="G21" s="87"/>
      <c r="H21" s="1"/>
      <c r="I21" s="1"/>
    </row>
    <row r="22" spans="1:9" x14ac:dyDescent="0.25">
      <c r="A22" s="1"/>
      <c r="B22" s="1"/>
      <c r="C22" s="6" t="s">
        <v>87</v>
      </c>
      <c r="D22" s="74" t="s">
        <v>182</v>
      </c>
      <c r="E22" s="75"/>
      <c r="F22" s="75"/>
      <c r="G22" s="76"/>
      <c r="H22" s="1"/>
      <c r="I22" s="1"/>
    </row>
    <row r="23" spans="1:9" x14ac:dyDescent="0.25">
      <c r="A23" s="1"/>
      <c r="B23" s="1"/>
      <c r="C23" s="6" t="s">
        <v>8</v>
      </c>
      <c r="D23" s="74" t="s">
        <v>37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170</v>
      </c>
      <c r="D24" s="74" t="s">
        <v>88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171</v>
      </c>
      <c r="D25" s="74" t="s">
        <v>89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172</v>
      </c>
      <c r="D26" s="74" t="s">
        <v>129</v>
      </c>
      <c r="E26" s="75"/>
      <c r="F26" s="75"/>
      <c r="G26" s="76"/>
      <c r="H26" s="1"/>
      <c r="I26" s="1"/>
    </row>
    <row r="27" spans="1:9" x14ac:dyDescent="0.25">
      <c r="A27" s="1"/>
      <c r="B27" s="1"/>
      <c r="C27" s="6" t="s">
        <v>114</v>
      </c>
      <c r="D27" s="74" t="s">
        <v>38</v>
      </c>
      <c r="E27" s="75"/>
      <c r="F27" s="75"/>
      <c r="G27" s="76"/>
      <c r="H27" s="1"/>
      <c r="I27" s="1"/>
    </row>
    <row r="28" spans="1:9" x14ac:dyDescent="0.25">
      <c r="A28" s="1"/>
      <c r="B28" s="1"/>
      <c r="C28" s="6" t="s">
        <v>108</v>
      </c>
      <c r="D28" s="82" t="s">
        <v>109</v>
      </c>
      <c r="E28" s="83"/>
      <c r="F28" s="83"/>
      <c r="G28" s="84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lP8Y7AnjWFYZwZFxXhVLr70NFlYeldlJ2Osh6XhTSBZ7gmJsRQk/z9DNoo9hcz42TtTNK3LWfqcS2/vWQokNQ==" saltValue="uP9KrK24azLQIDEYxB6Hag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117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4" t="s">
        <v>202</v>
      </c>
      <c r="C8" s="115"/>
      <c r="D8" s="116"/>
      <c r="E8" s="1"/>
      <c r="F8" s="1"/>
    </row>
    <row r="9" spans="1:6" ht="15" customHeight="1" x14ac:dyDescent="0.25">
      <c r="A9" s="1"/>
      <c r="B9" s="47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2" t="s">
        <v>227</v>
      </c>
      <c r="C10" s="9">
        <v>11666348</v>
      </c>
      <c r="D10" s="14" t="s">
        <v>3</v>
      </c>
      <c r="E10" s="1"/>
      <c r="F10" s="1"/>
    </row>
    <row r="11" spans="1:6" ht="15" customHeight="1" x14ac:dyDescent="0.25">
      <c r="A11" s="1"/>
      <c r="B11" s="62" t="s">
        <v>228</v>
      </c>
      <c r="C11" s="9">
        <v>58892</v>
      </c>
      <c r="D11" s="14" t="s">
        <v>3</v>
      </c>
      <c r="E11" s="1"/>
      <c r="F11" s="1"/>
    </row>
    <row r="12" spans="1:6" x14ac:dyDescent="0.25">
      <c r="A12" s="1"/>
      <c r="B12" s="62" t="s">
        <v>229</v>
      </c>
      <c r="C12" s="9">
        <v>5448640</v>
      </c>
      <c r="D12" s="14" t="s">
        <v>3</v>
      </c>
      <c r="E12" s="1"/>
      <c r="F12" s="1"/>
    </row>
    <row r="13" spans="1:6" x14ac:dyDescent="0.25">
      <c r="A13" s="1"/>
      <c r="B13" s="62" t="s">
        <v>230</v>
      </c>
      <c r="C13" s="9">
        <v>20696</v>
      </c>
      <c r="D13" s="14" t="s">
        <v>3</v>
      </c>
      <c r="E13" s="1"/>
      <c r="F13" s="1"/>
    </row>
    <row r="14" spans="1:6" x14ac:dyDescent="0.25">
      <c r="A14" s="1"/>
      <c r="B14" s="62" t="s">
        <v>231</v>
      </c>
      <c r="C14" s="9">
        <v>606260</v>
      </c>
      <c r="D14" s="14" t="s">
        <v>3</v>
      </c>
      <c r="E14" s="1"/>
      <c r="F14" s="1"/>
    </row>
    <row r="15" spans="1:6" x14ac:dyDescent="0.25">
      <c r="A15" s="1"/>
      <c r="B15" s="50" t="s">
        <v>204</v>
      </c>
      <c r="C15" s="12">
        <f>SUM(C10:C14)</f>
        <v>17800836</v>
      </c>
      <c r="D15" s="13" t="s">
        <v>3</v>
      </c>
      <c r="E15" s="1"/>
      <c r="F15" s="1"/>
    </row>
    <row r="16" spans="1:6" x14ac:dyDescent="0.25">
      <c r="A16" s="1"/>
      <c r="B16" s="50" t="s">
        <v>205</v>
      </c>
      <c r="C16" s="12">
        <f>C15*(1+'Fane 12. Nøgletal'!C14)^2</f>
        <v>17918515.368704043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LKi8zwSOugXSIBpGEKPygEVHSEx6dleMmlgPscTlVPEHZjzmuWCZueoEzRUOOFhsz46s3gJzAF5kje4pYt+41A==" saltValue="3mHWcZesafVoOWLdFJJJ2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7" t="s">
        <v>220</v>
      </c>
      <c r="C3" s="107"/>
      <c r="D3" s="107"/>
      <c r="E3" s="107"/>
      <c r="F3" s="107"/>
      <c r="G3" s="1"/>
    </row>
    <row r="4" spans="1:7" ht="15" customHeight="1" x14ac:dyDescent="0.25">
      <c r="A4" s="1"/>
      <c r="B4" s="107"/>
      <c r="C4" s="107"/>
      <c r="D4" s="107"/>
      <c r="E4" s="107"/>
      <c r="F4" s="107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233</v>
      </c>
      <c r="C8" s="115"/>
      <c r="D8" s="115"/>
      <c r="E8" s="115"/>
      <c r="F8" s="116"/>
      <c r="G8" s="1"/>
    </row>
    <row r="9" spans="1:7" x14ac:dyDescent="0.25">
      <c r="A9" s="1"/>
      <c r="B9" s="111" t="s">
        <v>234</v>
      </c>
      <c r="C9" s="112"/>
      <c r="D9" s="113"/>
      <c r="E9" s="9">
        <v>1060310.1375513375</v>
      </c>
      <c r="F9" s="14" t="s">
        <v>3</v>
      </c>
      <c r="G9" s="1"/>
    </row>
    <row r="10" spans="1:7" x14ac:dyDescent="0.25">
      <c r="A10" s="1"/>
      <c r="B10" s="111" t="s">
        <v>235</v>
      </c>
      <c r="C10" s="112"/>
      <c r="D10" s="113"/>
      <c r="E10" s="9">
        <v>2934206.0903069228</v>
      </c>
      <c r="F10" s="14" t="s">
        <v>3</v>
      </c>
      <c r="G10" s="1"/>
    </row>
    <row r="11" spans="1:7" x14ac:dyDescent="0.25">
      <c r="A11" s="1"/>
      <c r="B11" s="111" t="s">
        <v>236</v>
      </c>
      <c r="C11" s="112"/>
      <c r="D11" s="113"/>
      <c r="E11" s="9">
        <v>1192255.2320004925</v>
      </c>
      <c r="F11" s="14" t="s">
        <v>3</v>
      </c>
      <c r="G11" s="1"/>
    </row>
    <row r="12" spans="1:7" x14ac:dyDescent="0.25">
      <c r="A12" s="1"/>
      <c r="B12" s="111" t="s">
        <v>237</v>
      </c>
      <c r="C12" s="112"/>
      <c r="D12" s="113"/>
      <c r="E12" s="9">
        <f>IF(OR(AND(E10&gt;0,E11&lt;0),AND(E11&lt;0,E34&gt;0)),E17+E18,E11)</f>
        <v>1192255.2320004925</v>
      </c>
      <c r="F12" s="14" t="s">
        <v>3</v>
      </c>
      <c r="G12" s="1"/>
    </row>
    <row r="13" spans="1:7" x14ac:dyDescent="0.25">
      <c r="A13" s="1"/>
      <c r="B13" s="50"/>
      <c r="C13" s="51"/>
      <c r="D13" s="51"/>
      <c r="E13" s="51"/>
      <c r="F13" s="20"/>
      <c r="G13" s="1"/>
    </row>
    <row r="14" spans="1:7" ht="54.75" customHeight="1" x14ac:dyDescent="0.25">
      <c r="A14" s="1"/>
      <c r="B14" s="90" t="s">
        <v>238</v>
      </c>
      <c r="C14" s="91"/>
      <c r="D14" s="91"/>
      <c r="E14" s="91"/>
      <c r="F14" s="92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4" t="s">
        <v>239</v>
      </c>
      <c r="C16" s="115"/>
      <c r="D16" s="115"/>
      <c r="E16" s="115"/>
      <c r="F16" s="116"/>
      <c r="G16" s="1"/>
    </row>
    <row r="17" spans="1:7" x14ac:dyDescent="0.25">
      <c r="A17" s="1"/>
      <c r="B17" s="111" t="s">
        <v>240</v>
      </c>
      <c r="C17" s="112"/>
      <c r="D17" s="113"/>
      <c r="E17" s="9">
        <v>0</v>
      </c>
      <c r="F17" s="14" t="s">
        <v>3</v>
      </c>
      <c r="G17" s="1"/>
    </row>
    <row r="18" spans="1:7" x14ac:dyDescent="0.25">
      <c r="A18" s="1"/>
      <c r="B18" s="111" t="s">
        <v>241</v>
      </c>
      <c r="C18" s="112"/>
      <c r="D18" s="113"/>
      <c r="E18" s="9">
        <v>0</v>
      </c>
      <c r="F18" s="14" t="s">
        <v>3</v>
      </c>
      <c r="G18" s="1"/>
    </row>
    <row r="19" spans="1:7" x14ac:dyDescent="0.25">
      <c r="A19" s="1"/>
      <c r="B19" s="50"/>
      <c r="C19" s="51"/>
      <c r="D19" s="51"/>
      <c r="E19" s="51"/>
      <c r="F19" s="20"/>
      <c r="G19" s="1"/>
    </row>
    <row r="20" spans="1:7" ht="30" customHeight="1" x14ac:dyDescent="0.25">
      <c r="A20" s="1"/>
      <c r="B20" s="90" t="s">
        <v>242</v>
      </c>
      <c r="C20" s="91"/>
      <c r="D20" s="91"/>
      <c r="E20" s="91"/>
      <c r="F20" s="92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9" t="s">
        <v>206</v>
      </c>
      <c r="C22" s="60"/>
      <c r="D22" s="60"/>
      <c r="E22" s="60"/>
      <c r="F22" s="61"/>
      <c r="G22" s="1"/>
    </row>
    <row r="23" spans="1:7" x14ac:dyDescent="0.25">
      <c r="A23" s="1"/>
      <c r="B23" s="56" t="s">
        <v>207</v>
      </c>
      <c r="C23" s="57"/>
      <c r="D23" s="58"/>
      <c r="E23" s="9">
        <v>32298315.0572045</v>
      </c>
      <c r="F23" s="14" t="s">
        <v>3</v>
      </c>
      <c r="G23" s="1"/>
    </row>
    <row r="24" spans="1:7" x14ac:dyDescent="0.25">
      <c r="A24" s="1"/>
      <c r="B24" s="56" t="s">
        <v>208</v>
      </c>
      <c r="C24" s="57"/>
      <c r="D24" s="58"/>
      <c r="E24" s="9">
        <v>36601965</v>
      </c>
      <c r="F24" s="14" t="s">
        <v>3</v>
      </c>
      <c r="G24" s="1"/>
    </row>
    <row r="25" spans="1:7" x14ac:dyDescent="0.25">
      <c r="A25" s="1"/>
      <c r="B25" s="56" t="s">
        <v>34</v>
      </c>
      <c r="C25" s="57"/>
      <c r="D25" s="58"/>
      <c r="E25" s="9">
        <v>0</v>
      </c>
      <c r="F25" s="14" t="s">
        <v>3</v>
      </c>
      <c r="G25" s="1"/>
    </row>
    <row r="26" spans="1:7" x14ac:dyDescent="0.25">
      <c r="A26" s="1"/>
      <c r="B26" s="63" t="s">
        <v>250</v>
      </c>
      <c r="C26" s="64"/>
      <c r="D26" s="65"/>
      <c r="E26" s="45">
        <f>E23-(E24-E25)</f>
        <v>-4303649.9427955002</v>
      </c>
      <c r="F26" s="17" t="s">
        <v>3</v>
      </c>
      <c r="G26" s="1"/>
    </row>
    <row r="27" spans="1:7" x14ac:dyDescent="0.25">
      <c r="A27" s="1"/>
      <c r="B27" s="50"/>
      <c r="C27" s="51"/>
      <c r="D27" s="51"/>
      <c r="E27" s="51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4" t="s">
        <v>243</v>
      </c>
      <c r="C29" s="115"/>
      <c r="D29" s="115"/>
      <c r="E29" s="115"/>
      <c r="F29" s="116"/>
      <c r="G29" s="1"/>
    </row>
    <row r="30" spans="1:7" x14ac:dyDescent="0.25">
      <c r="A30" s="1"/>
      <c r="B30" s="135" t="s">
        <v>244</v>
      </c>
      <c r="C30" s="136"/>
      <c r="D30" s="137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4"/>
      <c r="C31" s="115"/>
      <c r="D31" s="115"/>
      <c r="E31" s="115"/>
      <c r="F31" s="116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4" t="s">
        <v>245</v>
      </c>
      <c r="C33" s="115"/>
      <c r="D33" s="115"/>
      <c r="E33" s="115"/>
      <c r="F33" s="116"/>
      <c r="G33" s="1"/>
    </row>
    <row r="34" spans="1:7" x14ac:dyDescent="0.25">
      <c r="A34" s="1"/>
      <c r="B34" s="129" t="s">
        <v>251</v>
      </c>
      <c r="C34" s="130"/>
      <c r="D34" s="131"/>
      <c r="E34" s="9">
        <v>3</v>
      </c>
      <c r="F34" s="14"/>
      <c r="G34" s="1"/>
    </row>
    <row r="35" spans="1:7" x14ac:dyDescent="0.25">
      <c r="A35" s="1"/>
      <c r="B35" s="129" t="s">
        <v>161</v>
      </c>
      <c r="C35" s="130"/>
      <c r="D35" s="131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29" t="s">
        <v>110</v>
      </c>
      <c r="C36" s="130"/>
      <c r="D36" s="131"/>
      <c r="E36" s="9">
        <v>4</v>
      </c>
      <c r="F36" s="14" t="s">
        <v>19</v>
      </c>
      <c r="G36" s="1"/>
    </row>
    <row r="37" spans="1:7" x14ac:dyDescent="0.25">
      <c r="A37" s="1"/>
      <c r="B37" s="138" t="s">
        <v>160</v>
      </c>
      <c r="C37" s="138"/>
      <c r="D37" s="138"/>
      <c r="E37" s="10">
        <f>E35/E36</f>
        <v>0</v>
      </c>
      <c r="F37" s="17" t="s">
        <v>3</v>
      </c>
      <c r="G37" s="1"/>
    </row>
    <row r="38" spans="1:7" x14ac:dyDescent="0.25">
      <c r="A38" s="1"/>
      <c r="B38" s="132"/>
      <c r="C38" s="133"/>
      <c r="D38" s="133"/>
      <c r="E38" s="133"/>
      <c r="F38" s="134"/>
      <c r="G38" s="1"/>
    </row>
    <row r="39" spans="1:7" ht="75" customHeight="1" x14ac:dyDescent="0.25">
      <c r="A39" s="1"/>
      <c r="B39" s="90" t="s">
        <v>249</v>
      </c>
      <c r="C39" s="91"/>
      <c r="D39" s="91"/>
      <c r="E39" s="91"/>
      <c r="F39" s="92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BYND6Uw6IMtjM2zUzURFHXKJjkYN4dGtOG0KRy3SMAuX/1ynnIAycuSYEo3n0OKaehittzPGqv8FoNWalKXoOw==" saltValue="sXt1UM0ye9aixTu3nyT6Eg==" spinCount="100000" sheet="1" objects="1" scenarios="1"/>
  <mergeCells count="21"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169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4" t="s">
        <v>157</v>
      </c>
      <c r="C8" s="115"/>
      <c r="D8" s="115"/>
      <c r="E8" s="115"/>
      <c r="F8" s="115"/>
      <c r="G8" s="115"/>
      <c r="H8" s="116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3"/>
      <c r="I9" s="1"/>
    </row>
    <row r="10" spans="1:9" x14ac:dyDescent="0.25">
      <c r="A10" s="1"/>
      <c r="B10" s="67" t="s">
        <v>252</v>
      </c>
      <c r="C10" s="6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4" t="s">
        <v>158</v>
      </c>
      <c r="C11" s="115"/>
      <c r="D11" s="11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vEqaTYz5UloHx6VJO7BoV6DAsxtKu1EmLFtEiOOJm8qSEd0hH//6xMbTtgtPNYgmFT9a8NEqL9Wfth4dDfeuqg==" saltValue="m22DNOohoBZjBXM8SHQk8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84</v>
      </c>
      <c r="C8" s="51"/>
      <c r="D8" s="51"/>
      <c r="E8" s="51"/>
      <c r="F8" s="20"/>
      <c r="G8" s="1"/>
    </row>
    <row r="9" spans="1:7" ht="17.25" customHeight="1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0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0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kZ3m8RYX+zDgYDNY4tdsYjU2UJox/sLfYATZ1jyxGvW358Fi1xMRP0DJn9UG1wZzY/FbzJV3+6Gb8VBx9odswg==" saltValue="C3SWXEca1Difb99CbVJ3s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102</v>
      </c>
      <c r="C8" s="115"/>
      <c r="D8" s="115"/>
      <c r="E8" s="115"/>
      <c r="F8" s="116"/>
      <c r="G8" s="1"/>
    </row>
    <row r="9" spans="1:7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246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0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4" t="s">
        <v>103</v>
      </c>
      <c r="C16" s="115"/>
      <c r="D16" s="115"/>
      <c r="E16" s="115"/>
      <c r="F16" s="116"/>
      <c r="G16" s="1"/>
    </row>
    <row r="17" spans="1:7" x14ac:dyDescent="0.25">
      <c r="A17" s="1"/>
      <c r="B17" s="48" t="s">
        <v>16</v>
      </c>
      <c r="C17" s="48" t="s">
        <v>11</v>
      </c>
      <c r="D17" s="49"/>
      <c r="E17" s="48" t="s">
        <v>32</v>
      </c>
      <c r="F17" s="53"/>
      <c r="G17" s="1"/>
    </row>
    <row r="18" spans="1:7" x14ac:dyDescent="0.25">
      <c r="A18" s="1"/>
      <c r="B18" s="25" t="s">
        <v>246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0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0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4" t="s">
        <v>138</v>
      </c>
      <c r="C24" s="115"/>
      <c r="D24" s="115"/>
      <c r="E24" s="115"/>
      <c r="F24" s="116"/>
      <c r="G24" s="1"/>
    </row>
    <row r="25" spans="1:7" x14ac:dyDescent="0.25">
      <c r="A25" s="1"/>
      <c r="B25" s="48" t="s">
        <v>16</v>
      </c>
      <c r="C25" s="48" t="s">
        <v>11</v>
      </c>
      <c r="D25" s="49"/>
      <c r="E25" s="48" t="s">
        <v>32</v>
      </c>
      <c r="F25" s="53"/>
      <c r="G25" s="1"/>
    </row>
    <row r="26" spans="1:7" x14ac:dyDescent="0.25">
      <c r="A26" s="1"/>
      <c r="B26" s="25" t="s">
        <v>246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0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0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4" t="s">
        <v>211</v>
      </c>
      <c r="C32" s="115"/>
      <c r="D32" s="115"/>
      <c r="E32" s="115"/>
      <c r="F32" s="116"/>
      <c r="G32" s="1"/>
    </row>
    <row r="33" spans="1:7" x14ac:dyDescent="0.25">
      <c r="A33" s="1"/>
      <c r="B33" s="48" t="s">
        <v>16</v>
      </c>
      <c r="C33" s="48" t="s">
        <v>11</v>
      </c>
      <c r="D33" s="49"/>
      <c r="E33" s="48" t="s">
        <v>32</v>
      </c>
      <c r="F33" s="53"/>
      <c r="G33" s="1"/>
    </row>
    <row r="34" spans="1:7" x14ac:dyDescent="0.25">
      <c r="A34" s="1"/>
      <c r="B34" s="25" t="s">
        <v>246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0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0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u4M2iTPlEbLxfybowy2X5GEr5PYC//MT3mCe53T9qJHemckTjxyHDOcDUMea4zVP81ucPq6N4hFlui91IcBWA==" saltValue="9U68hltjBLnIzgkoU30y8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166</v>
      </c>
      <c r="C3" s="107"/>
      <c r="D3" s="107"/>
      <c r="E3" s="107"/>
      <c r="F3" s="107"/>
      <c r="G3" s="1"/>
    </row>
    <row r="4" spans="1:7" ht="25.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130</v>
      </c>
      <c r="C8" s="115"/>
      <c r="D8" s="115"/>
      <c r="E8" s="115"/>
      <c r="F8" s="116"/>
      <c r="G8" s="1"/>
    </row>
    <row r="9" spans="1:7" ht="15" customHeight="1" x14ac:dyDescent="0.25">
      <c r="A9" s="1"/>
      <c r="B9" s="52" t="s">
        <v>131</v>
      </c>
      <c r="C9" s="99" t="s">
        <v>11</v>
      </c>
      <c r="D9" s="101"/>
      <c r="E9" s="99" t="s">
        <v>32</v>
      </c>
      <c r="F9" s="101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7IbOyHx4KqOl8zq98DuSUQuf4L8zwVxpKveb4wxnQmhDoqJlXYsc5zJ3aNIkJVrTIU2PbTdqMzIqjDb519qmwQ==" saltValue="KQCVCWvFRsqDx6AAByQ/8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165</v>
      </c>
      <c r="C3" s="107"/>
      <c r="D3" s="107"/>
      <c r="E3" s="107"/>
      <c r="F3" s="107"/>
      <c r="G3" s="1"/>
    </row>
    <row r="4" spans="1:7" ht="25.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98</v>
      </c>
      <c r="C8" s="115"/>
      <c r="D8" s="115"/>
      <c r="E8" s="115"/>
      <c r="F8" s="116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32</v>
      </c>
      <c r="F9" s="53"/>
      <c r="G9" s="1"/>
    </row>
    <row r="10" spans="1:7" x14ac:dyDescent="0.25">
      <c r="A10" s="1"/>
      <c r="B10" s="25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0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4" t="s">
        <v>99</v>
      </c>
      <c r="C15" s="115"/>
      <c r="D15" s="115"/>
      <c r="E15" s="115"/>
      <c r="F15" s="116"/>
      <c r="G15" s="1"/>
    </row>
    <row r="16" spans="1:7" ht="26.25" x14ac:dyDescent="0.25">
      <c r="A16" s="1"/>
      <c r="B16" s="52" t="s">
        <v>17</v>
      </c>
      <c r="C16" s="52" t="s">
        <v>11</v>
      </c>
      <c r="D16" s="53"/>
      <c r="E16" s="52" t="s">
        <v>32</v>
      </c>
      <c r="F16" s="53"/>
      <c r="G16" s="1"/>
    </row>
    <row r="17" spans="1:7" x14ac:dyDescent="0.25">
      <c r="A17" s="1"/>
      <c r="B17" s="25" t="s">
        <v>232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0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0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4" t="s">
        <v>142</v>
      </c>
      <c r="C22" s="115"/>
      <c r="D22" s="115"/>
      <c r="E22" s="115"/>
      <c r="F22" s="116"/>
      <c r="G22" s="1"/>
    </row>
    <row r="23" spans="1:7" ht="26.25" x14ac:dyDescent="0.25">
      <c r="A23" s="1"/>
      <c r="B23" s="52" t="s">
        <v>17</v>
      </c>
      <c r="C23" s="52" t="s">
        <v>11</v>
      </c>
      <c r="D23" s="53"/>
      <c r="E23" s="52" t="s">
        <v>32</v>
      </c>
      <c r="F23" s="53"/>
      <c r="G23" s="1"/>
    </row>
    <row r="24" spans="1:7" x14ac:dyDescent="0.25">
      <c r="A24" s="1"/>
      <c r="B24" s="25" t="s">
        <v>232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0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0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4" t="s">
        <v>214</v>
      </c>
      <c r="C29" s="115"/>
      <c r="D29" s="115"/>
      <c r="E29" s="115"/>
      <c r="F29" s="116"/>
      <c r="G29" s="1"/>
    </row>
    <row r="30" spans="1:7" ht="26.25" x14ac:dyDescent="0.25">
      <c r="A30" s="1"/>
      <c r="B30" s="52" t="s">
        <v>17</v>
      </c>
      <c r="C30" s="52" t="s">
        <v>11</v>
      </c>
      <c r="D30" s="53"/>
      <c r="E30" s="52" t="s">
        <v>32</v>
      </c>
      <c r="F30" s="53"/>
      <c r="G30" s="1"/>
    </row>
    <row r="31" spans="1:7" x14ac:dyDescent="0.25">
      <c r="A31" s="1"/>
      <c r="B31" s="25" t="s">
        <v>232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0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0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PNxyjwU362WcorUTmNbGJ1hXv7s10aoAHfKQ6sd4uHG9H7wXobsLVUHgGdKiKexAHsSZDxk01kABYzGzPSrVIQ==" saltValue="ufRCD/pRRmcZor34RP9La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7" t="s">
        <v>164</v>
      </c>
      <c r="C3" s="107"/>
      <c r="D3" s="1"/>
    </row>
    <row r="4" spans="1:4" ht="25.5" customHeight="1" x14ac:dyDescent="0.25">
      <c r="A4" s="1"/>
      <c r="B4" s="107"/>
      <c r="C4" s="10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0" t="s">
        <v>14</v>
      </c>
      <c r="C8" s="20"/>
      <c r="D8" s="1"/>
    </row>
    <row r="9" spans="1:4" x14ac:dyDescent="0.25">
      <c r="A9" s="1"/>
      <c r="B9" s="62" t="s">
        <v>118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69">
        <v>3.3E-3</v>
      </c>
      <c r="D14" s="1"/>
    </row>
    <row r="15" spans="1:4" x14ac:dyDescent="0.25">
      <c r="A15" s="1"/>
      <c r="B15" s="114"/>
      <c r="C15" s="116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0" t="s">
        <v>106</v>
      </c>
      <c r="C18" s="20"/>
      <c r="D18" s="1"/>
    </row>
    <row r="19" spans="1:4" x14ac:dyDescent="0.25">
      <c r="A19" s="1"/>
      <c r="B19" s="62" t="s">
        <v>120</v>
      </c>
      <c r="C19" s="23">
        <v>9.1000000000000004E-3</v>
      </c>
      <c r="D19" s="1"/>
    </row>
    <row r="20" spans="1:4" x14ac:dyDescent="0.25">
      <c r="A20" s="1"/>
      <c r="B20" s="62" t="s">
        <v>121</v>
      </c>
      <c r="C20" s="23">
        <v>1.77E-2</v>
      </c>
      <c r="D20" s="1"/>
    </row>
    <row r="21" spans="1:4" x14ac:dyDescent="0.25">
      <c r="A21" s="1"/>
      <c r="B21" s="62" t="s">
        <v>122</v>
      </c>
      <c r="C21" s="23">
        <v>8.6999999999999994E-3</v>
      </c>
      <c r="D21" s="1"/>
    </row>
    <row r="22" spans="1:4" x14ac:dyDescent="0.25">
      <c r="A22" s="1"/>
      <c r="B22" s="62" t="s">
        <v>123</v>
      </c>
      <c r="C22" s="35">
        <v>2.8400000000000002E-2</v>
      </c>
      <c r="D22" s="1"/>
    </row>
    <row r="23" spans="1:4" x14ac:dyDescent="0.25">
      <c r="A23" s="1"/>
      <c r="B23" s="62" t="s">
        <v>146</v>
      </c>
      <c r="C23" s="35">
        <v>2.75E-2</v>
      </c>
      <c r="D23" s="1"/>
    </row>
    <row r="24" spans="1:4" x14ac:dyDescent="0.25">
      <c r="A24" s="1"/>
      <c r="B24" s="62" t="s">
        <v>217</v>
      </c>
      <c r="C24" s="35">
        <v>1.4800000000000001E-2</v>
      </c>
      <c r="D24" s="1"/>
    </row>
    <row r="25" spans="1:4" x14ac:dyDescent="0.25">
      <c r="A25" s="1"/>
      <c r="B25" s="50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0" t="s">
        <v>107</v>
      </c>
      <c r="C28" s="20"/>
      <c r="D28" s="1"/>
    </row>
    <row r="29" spans="1:4" x14ac:dyDescent="0.25">
      <c r="A29" s="1"/>
      <c r="B29" s="62" t="s">
        <v>124</v>
      </c>
      <c r="C29" s="26">
        <v>0.02</v>
      </c>
      <c r="D29" s="1"/>
    </row>
    <row r="30" spans="1:4" x14ac:dyDescent="0.25">
      <c r="A30" s="1"/>
      <c r="B30" s="50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O2WtELjjUS8aF57+xrLtfukyN2MkHYwiRd4hN0Kt3JkFCPrOq8/zQtcI/d9v0MKPR2wvAk+r/lTUlFxts8uwiw==" saltValue="dD8C/XisPKZtv9HkK8fYG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183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x14ac:dyDescent="0.25">
      <c r="A9" s="1"/>
      <c r="B9" s="55" t="s">
        <v>24</v>
      </c>
      <c r="C9" s="7">
        <f>'Fane 3. Omkostninger i ØR2021'!E20</f>
        <v>12720873.506677926</v>
      </c>
      <c r="D9" s="8" t="s">
        <v>3</v>
      </c>
      <c r="E9" s="1"/>
    </row>
    <row r="10" spans="1:5" x14ac:dyDescent="0.25">
      <c r="A10" s="1"/>
      <c r="B10" s="46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6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203285.99761100992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155194.65678147069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-202113.9244926305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-166432.26095251576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-150406.2146728661</v>
      </c>
      <c r="D21" s="8" t="s">
        <v>3</v>
      </c>
      <c r="E21" s="1"/>
    </row>
    <row r="22" spans="1:5" ht="17.100000000000001" customHeight="1" x14ac:dyDescent="0.25">
      <c r="A22" s="1"/>
      <c r="B22" s="63" t="s">
        <v>20</v>
      </c>
      <c r="C22" s="10">
        <f>SUM(C9,C12:C21)</f>
        <v>12357115.763341384</v>
      </c>
      <c r="D22" s="11" t="s">
        <v>3</v>
      </c>
      <c r="E22" s="1"/>
    </row>
    <row r="23" spans="1:5" ht="15" customHeight="1" x14ac:dyDescent="0.25">
      <c r="A23" s="1"/>
      <c r="B23" s="50" t="s">
        <v>12</v>
      </c>
      <c r="C23" s="51"/>
      <c r="D23" s="20"/>
      <c r="E23" s="1"/>
    </row>
    <row r="24" spans="1:5" ht="15" customHeight="1" x14ac:dyDescent="0.25">
      <c r="A24" s="1"/>
      <c r="B24" s="52" t="s">
        <v>12</v>
      </c>
      <c r="C24" s="10">
        <f>'Fane 6. Ikke-påvirkelige omk.'!C16</f>
        <v>17918515.368704043</v>
      </c>
      <c r="D24" s="11" t="s">
        <v>3</v>
      </c>
      <c r="E24" s="1"/>
    </row>
    <row r="25" spans="1:5" ht="15" customHeight="1" x14ac:dyDescent="0.25">
      <c r="A25" s="1"/>
      <c r="B25" s="50" t="s">
        <v>89</v>
      </c>
      <c r="C25" s="51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3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1"/>
      <c r="D29" s="20"/>
      <c r="E29" s="1"/>
    </row>
    <row r="30" spans="1:5" x14ac:dyDescent="0.2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1"/>
      <c r="D31" s="20"/>
      <c r="E31" s="1"/>
    </row>
    <row r="32" spans="1:5" x14ac:dyDescent="0.25">
      <c r="A32" s="1"/>
      <c r="B32" s="66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0" t="s">
        <v>30</v>
      </c>
      <c r="C33" s="31">
        <f>SUM(C22,C24,C28,C30,C32)</f>
        <v>30275631.132045425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KY6UP3qZTdTfH0Mg0X9jZ/lgYs5CJFhZSAlDwAX7pfdZrQvHhC+hytJ2aXaN6MgRgtZ/I5Oql6kJ99Cmiemzbg==" saltValue="otdgCvJQXMUePKu1En3+a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ht="15" customHeight="1" x14ac:dyDescent="0.25">
      <c r="A9" s="1"/>
      <c r="B9" s="55" t="s">
        <v>134</v>
      </c>
      <c r="C9" s="7">
        <f>'Fane 2.1. Økonomisk ramme 2022'!C22</f>
        <v>12357115.763341384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6" t="s">
        <v>18</v>
      </c>
      <c r="C12" s="9">
        <f>SUM(C9:C11)*'Fane 12. Nøgletal'!C14</f>
        <v>40778.482019026567</v>
      </c>
      <c r="D12" s="8" t="s">
        <v>3</v>
      </c>
      <c r="E12" s="1"/>
    </row>
    <row r="13" spans="1:5" ht="15" customHeight="1" x14ac:dyDescent="0.25">
      <c r="A13" s="1"/>
      <c r="B13" s="46" t="s">
        <v>9</v>
      </c>
      <c r="C13" s="9">
        <f>-SUM(C9:C12)*'Fane 5. Individuelt eff. krav'!G10</f>
        <v>-194608.09228126713</v>
      </c>
      <c r="D13" s="8" t="s">
        <v>3</v>
      </c>
      <c r="E13" s="1"/>
    </row>
    <row r="14" spans="1:5" ht="15" customHeight="1" x14ac:dyDescent="0.25">
      <c r="A14" s="1"/>
      <c r="B14" s="46" t="s">
        <v>25</v>
      </c>
      <c r="C14" s="9">
        <f>-'Fane 4.1. Gen. krav - drift'!G44</f>
        <v>-163641.85766538591</v>
      </c>
      <c r="D14" s="8" t="s">
        <v>3</v>
      </c>
      <c r="E14" s="1"/>
    </row>
    <row r="15" spans="1:5" ht="15" customHeight="1" x14ac:dyDescent="0.25">
      <c r="A15" s="1"/>
      <c r="B15" s="46" t="s">
        <v>26</v>
      </c>
      <c r="C15" s="9">
        <f>-'Fane 4.2. Gen. krav - anlæg'!G44</f>
        <v>-78979.6536990639</v>
      </c>
      <c r="D15" s="8" t="s">
        <v>3</v>
      </c>
      <c r="E15" s="1"/>
    </row>
    <row r="16" spans="1:5" ht="15" customHeight="1" x14ac:dyDescent="0.25">
      <c r="A16" s="1"/>
      <c r="B16" s="47" t="s">
        <v>20</v>
      </c>
      <c r="C16" s="10">
        <f>SUM(C9:C15)</f>
        <v>11960664.641714692</v>
      </c>
      <c r="D16" s="11" t="s">
        <v>3</v>
      </c>
      <c r="E16" s="1"/>
    </row>
    <row r="17" spans="1:5" x14ac:dyDescent="0.25">
      <c r="A17" s="1"/>
      <c r="B17" s="50" t="s">
        <v>12</v>
      </c>
      <c r="C17" s="51"/>
      <c r="D17" s="20"/>
      <c r="E17" s="1"/>
    </row>
    <row r="18" spans="1:5" ht="15" customHeight="1" x14ac:dyDescent="0.25">
      <c r="A18" s="1"/>
      <c r="B18" s="52" t="s">
        <v>12</v>
      </c>
      <c r="C18" s="10">
        <f>'Fane 6. Ikke-påvirkelige omk.'!C16*(1+'Fane 12. Nøgletal'!C14)</f>
        <v>17977646.469420768</v>
      </c>
      <c r="D18" s="11" t="s">
        <v>3</v>
      </c>
      <c r="E18" s="1"/>
    </row>
    <row r="19" spans="1:5" ht="15" customHeight="1" x14ac:dyDescent="0.25">
      <c r="A19" s="1"/>
      <c r="B19" s="50" t="s">
        <v>89</v>
      </c>
      <c r="C19" s="51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3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1"/>
      <c r="D23" s="20"/>
      <c r="E23" s="1"/>
    </row>
    <row r="24" spans="1:5" ht="15" customHeight="1" x14ac:dyDescent="0.25">
      <c r="A24" s="1"/>
      <c r="B24" s="66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51"/>
      <c r="D25" s="20"/>
      <c r="E25" s="1"/>
    </row>
    <row r="26" spans="1:5" x14ac:dyDescent="0.25">
      <c r="A26" s="1"/>
      <c r="B26" s="66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0" t="s">
        <v>97</v>
      </c>
      <c r="C27" s="12">
        <f>SUM(C16,C18,C22,C24,C26)</f>
        <v>29938311.11113546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3/fUoa+HlF0g6l8ZTjGaaoZujm9BoemCvh4sUm3+bOmnjZSA5NrEWhrZNDORFNNn2bnKGd3/dLAnQSuMu4qnKQ==" saltValue="TNZdD/PmytMvnd3JaMxsj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185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135</v>
      </c>
      <c r="C8" s="7">
        <f>'Fane 2.2. Økonomisk ramme 2023'!C16</f>
        <v>11960664.641714692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39470.193317658486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-188364.51587232712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drift'!G50</f>
        <v>-160898.23827976806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43">
        <f>-'Fane 4.2. Gen. krav - anlæg'!G50</f>
        <v>-78067.530315238022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11572804.550565019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omk.'!C16*(1+'Fane 12. Nøgletal'!C14)^2</f>
        <v>18036972.702769857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1"/>
      <c r="D24" s="20"/>
      <c r="E24" s="1"/>
    </row>
    <row r="25" spans="1:5" ht="15" customHeight="1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186</v>
      </c>
      <c r="C26" s="12">
        <f>SUM(C15,C17,C21,C23,C25)</f>
        <v>29609777.253334876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wmfbFGQUK5LwVTkhV+gPVwTUpknVNya/mfC87aUbzEtFJwiM7DT08zXQpRPfbw7Lzf/4zlxJx/XB1Rg/x8qqFA==" saltValue="hm0vEVlt+t2tHwSZGaGa7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187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188</v>
      </c>
      <c r="C8" s="7">
        <f>'Fane 2.3. Økonomisk ramme 2024'!C15</f>
        <v>11572804.550565019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38190.255016864561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-182256.23673533002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drift'!G56</f>
        <v>-158200.61841676949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anlæg'!G56</f>
        <v>-77165.940898432178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11193372.009531353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omk.'!C16*(1+'Fane 12. Nøgletal'!C14)^3</f>
        <v>18096494.712689001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1"/>
      <c r="D24" s="20"/>
      <c r="E24" s="1"/>
    </row>
    <row r="25" spans="1:5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189</v>
      </c>
      <c r="C26" s="12">
        <f>SUM(C15,C17,C21,C23,C25)</f>
        <v>29289866.722220354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mhGQPnaTPQC9FYX3QVaX0CA/cz/2X+PQr1GuRZRrpz6PaV6f+dIeWZIQtgk2JBwr/eXabDb3+QyAzfm62qW+xw==" saltValue="SCM8elae46xHOhiugJNdL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190</v>
      </c>
      <c r="C3" s="107"/>
      <c r="D3" s="107"/>
      <c r="E3" s="107"/>
      <c r="F3" s="107"/>
      <c r="G3" s="1"/>
    </row>
    <row r="4" spans="1:7" ht="29.2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223</v>
      </c>
      <c r="C8" s="51"/>
      <c r="D8" s="51"/>
      <c r="E8" s="51"/>
      <c r="F8" s="20"/>
      <c r="G8" s="1"/>
    </row>
    <row r="9" spans="1:7" x14ac:dyDescent="0.25">
      <c r="A9" s="1"/>
      <c r="B9" s="108" t="s">
        <v>23</v>
      </c>
      <c r="C9" s="109"/>
      <c r="D9" s="110"/>
      <c r="E9" s="7">
        <v>12879827.447151978</v>
      </c>
      <c r="F9" s="8" t="s">
        <v>3</v>
      </c>
      <c r="G9" s="1"/>
    </row>
    <row r="10" spans="1:7" ht="15" customHeight="1" x14ac:dyDescent="0.25">
      <c r="A10" s="1"/>
      <c r="B10" s="93" t="s">
        <v>40</v>
      </c>
      <c r="C10" s="94"/>
      <c r="D10" s="95"/>
      <c r="E10" s="9">
        <v>0</v>
      </c>
      <c r="F10" s="8" t="s">
        <v>3</v>
      </c>
      <c r="G10" s="1"/>
    </row>
    <row r="11" spans="1:7" ht="15" customHeight="1" x14ac:dyDescent="0.25">
      <c r="A11" s="1"/>
      <c r="B11" s="93" t="s">
        <v>41</v>
      </c>
      <c r="C11" s="94"/>
      <c r="D11" s="95"/>
      <c r="E11" s="9">
        <v>209902.95060000001</v>
      </c>
      <c r="F11" s="8" t="s">
        <v>3</v>
      </c>
      <c r="G11" s="1"/>
    </row>
    <row r="12" spans="1:7" x14ac:dyDescent="0.25">
      <c r="A12" s="1"/>
      <c r="B12" s="93" t="s">
        <v>28</v>
      </c>
      <c r="C12" s="94"/>
      <c r="D12" s="95"/>
      <c r="E12" s="9">
        <v>0</v>
      </c>
      <c r="F12" s="8" t="s">
        <v>3</v>
      </c>
      <c r="G12" s="1"/>
    </row>
    <row r="13" spans="1:7" x14ac:dyDescent="0.25">
      <c r="A13" s="1"/>
      <c r="B13" s="93" t="s">
        <v>27</v>
      </c>
      <c r="C13" s="94"/>
      <c r="D13" s="95"/>
      <c r="E13" s="9">
        <v>0</v>
      </c>
      <c r="F13" s="8" t="s">
        <v>3</v>
      </c>
      <c r="G13" s="1"/>
    </row>
    <row r="14" spans="1:7" x14ac:dyDescent="0.25">
      <c r="A14" s="1"/>
      <c r="B14" s="93" t="s">
        <v>132</v>
      </c>
      <c r="C14" s="94"/>
      <c r="D14" s="95"/>
      <c r="E14" s="9">
        <v>0</v>
      </c>
      <c r="F14" s="8" t="s">
        <v>3</v>
      </c>
      <c r="G14" s="1"/>
    </row>
    <row r="15" spans="1:7" x14ac:dyDescent="0.25">
      <c r="A15" s="1"/>
      <c r="B15" s="93" t="s">
        <v>133</v>
      </c>
      <c r="C15" s="94"/>
      <c r="D15" s="95"/>
      <c r="E15" s="9">
        <v>0</v>
      </c>
      <c r="F15" s="8" t="s">
        <v>3</v>
      </c>
      <c r="G15" s="1"/>
    </row>
    <row r="16" spans="1:7" x14ac:dyDescent="0.25">
      <c r="A16" s="1"/>
      <c r="B16" s="93" t="s">
        <v>18</v>
      </c>
      <c r="C16" s="94"/>
      <c r="D16" s="95"/>
      <c r="E16" s="9">
        <v>159694.71085257415</v>
      </c>
      <c r="F16" s="8" t="s">
        <v>3</v>
      </c>
      <c r="G16" s="1"/>
    </row>
    <row r="17" spans="1:7" x14ac:dyDescent="0.25">
      <c r="A17" s="1"/>
      <c r="B17" s="93" t="s">
        <v>9</v>
      </c>
      <c r="C17" s="94"/>
      <c r="D17" s="95"/>
      <c r="E17" s="9">
        <v>-207974.45866050749</v>
      </c>
      <c r="F17" s="8" t="s">
        <v>3</v>
      </c>
      <c r="G17" s="1"/>
    </row>
    <row r="18" spans="1:7" x14ac:dyDescent="0.25">
      <c r="A18" s="1"/>
      <c r="B18" s="93" t="s">
        <v>25</v>
      </c>
      <c r="C18" s="94"/>
      <c r="D18" s="95"/>
      <c r="E18" s="9">
        <v>-167781.89854440695</v>
      </c>
      <c r="F18" s="8" t="s">
        <v>3</v>
      </c>
      <c r="G18" s="1"/>
    </row>
    <row r="19" spans="1:7" x14ac:dyDescent="0.25">
      <c r="A19" s="1"/>
      <c r="B19" s="93" t="s">
        <v>26</v>
      </c>
      <c r="C19" s="94"/>
      <c r="D19" s="95"/>
      <c r="E19" s="9">
        <v>-152795.2447217124</v>
      </c>
      <c r="F19" s="8" t="s">
        <v>3</v>
      </c>
      <c r="G19" s="1"/>
    </row>
    <row r="20" spans="1:7" x14ac:dyDescent="0.25">
      <c r="A20" s="1"/>
      <c r="B20" s="96" t="s">
        <v>20</v>
      </c>
      <c r="C20" s="97"/>
      <c r="D20" s="98"/>
      <c r="E20" s="10">
        <f>SUM(E9:E19)</f>
        <v>12720873.506677926</v>
      </c>
      <c r="F20" s="11" t="s">
        <v>3</v>
      </c>
      <c r="G20" s="1"/>
    </row>
    <row r="21" spans="1:7" x14ac:dyDescent="0.25">
      <c r="A21" s="1"/>
      <c r="B21" s="50" t="s">
        <v>12</v>
      </c>
      <c r="C21" s="51"/>
      <c r="D21" s="51"/>
      <c r="E21" s="51"/>
      <c r="F21" s="20"/>
      <c r="G21" s="1"/>
    </row>
    <row r="22" spans="1:7" x14ac:dyDescent="0.25">
      <c r="A22" s="1"/>
      <c r="B22" s="104" t="s">
        <v>12</v>
      </c>
      <c r="C22" s="105"/>
      <c r="D22" s="106"/>
      <c r="E22" s="10">
        <v>18672960.988117799</v>
      </c>
      <c r="F22" s="11" t="s">
        <v>3</v>
      </c>
      <c r="G22" s="1"/>
    </row>
    <row r="23" spans="1:7" ht="15" customHeight="1" x14ac:dyDescent="0.25">
      <c r="A23" s="1"/>
      <c r="B23" s="102" t="s">
        <v>89</v>
      </c>
      <c r="C23" s="103"/>
      <c r="D23" s="103"/>
      <c r="E23" s="51"/>
      <c r="F23" s="51"/>
      <c r="G23" s="1"/>
    </row>
    <row r="24" spans="1:7" ht="14.25" customHeight="1" x14ac:dyDescent="0.25">
      <c r="A24" s="1"/>
      <c r="B24" s="90" t="s">
        <v>85</v>
      </c>
      <c r="C24" s="91"/>
      <c r="D24" s="92"/>
      <c r="E24" s="9">
        <v>0</v>
      </c>
      <c r="F24" s="8" t="s">
        <v>3</v>
      </c>
      <c r="G24" s="1"/>
    </row>
    <row r="25" spans="1:7" ht="14.25" customHeight="1" x14ac:dyDescent="0.25">
      <c r="A25" s="1"/>
      <c r="B25" s="90" t="s">
        <v>86</v>
      </c>
      <c r="C25" s="91"/>
      <c r="D25" s="92"/>
      <c r="E25" s="9">
        <v>0</v>
      </c>
      <c r="F25" s="8" t="s">
        <v>3</v>
      </c>
      <c r="G25" s="1"/>
    </row>
    <row r="26" spans="1:7" x14ac:dyDescent="0.25">
      <c r="A26" s="1"/>
      <c r="B26" s="99" t="s">
        <v>90</v>
      </c>
      <c r="C26" s="100"/>
      <c r="D26" s="100"/>
      <c r="E26" s="10">
        <v>0</v>
      </c>
      <c r="F26" s="11" t="s">
        <v>3</v>
      </c>
      <c r="G26" s="1"/>
    </row>
    <row r="27" spans="1:7" x14ac:dyDescent="0.25">
      <c r="A27" s="1"/>
      <c r="B27" s="50" t="s">
        <v>161</v>
      </c>
      <c r="C27" s="51"/>
      <c r="D27" s="51"/>
      <c r="E27" s="51"/>
      <c r="F27" s="20"/>
      <c r="G27" s="1"/>
    </row>
    <row r="28" spans="1:7" ht="15" customHeight="1" x14ac:dyDescent="0.25">
      <c r="A28" s="1"/>
      <c r="B28" s="99" t="s">
        <v>162</v>
      </c>
      <c r="C28" s="100"/>
      <c r="D28" s="101"/>
      <c r="E28" s="10">
        <v>0</v>
      </c>
      <c r="F28" s="11" t="s">
        <v>3</v>
      </c>
      <c r="G28" s="1"/>
    </row>
    <row r="29" spans="1:7" x14ac:dyDescent="0.25">
      <c r="A29" s="1"/>
      <c r="B29" s="50" t="s">
        <v>247</v>
      </c>
      <c r="C29" s="51"/>
      <c r="D29" s="51"/>
      <c r="E29" s="51"/>
      <c r="F29" s="20"/>
      <c r="G29" s="1"/>
    </row>
    <row r="30" spans="1:7" ht="15.6" customHeight="1" x14ac:dyDescent="0.25">
      <c r="A30" s="1"/>
      <c r="B30" s="104" t="s">
        <v>248</v>
      </c>
      <c r="C30" s="105"/>
      <c r="D30" s="106"/>
      <c r="E30" s="10">
        <v>0</v>
      </c>
      <c r="F30" s="11" t="s">
        <v>3</v>
      </c>
      <c r="G30" s="1"/>
    </row>
    <row r="31" spans="1:7" x14ac:dyDescent="0.25">
      <c r="A31" s="1"/>
      <c r="B31" s="50" t="s">
        <v>29</v>
      </c>
      <c r="C31" s="51"/>
      <c r="D31" s="51"/>
      <c r="E31" s="12">
        <f>E20+E22+E26+E28+E30</f>
        <v>31393834.494795725</v>
      </c>
      <c r="F31" s="13" t="s">
        <v>3</v>
      </c>
      <c r="G31" s="1"/>
    </row>
    <row r="32" spans="1:7" ht="27.75" customHeight="1" x14ac:dyDescent="0.25">
      <c r="A32" s="1"/>
      <c r="B32" s="90" t="s">
        <v>191</v>
      </c>
      <c r="C32" s="91"/>
      <c r="D32" s="91"/>
      <c r="E32" s="91"/>
      <c r="F32" s="9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9aQqVMgnFlnmn3DG6PBuBbdsMLSiwjNPeGtp//ybWkLy463mNJm/J5KtlYatCL2OgYpZ3tzVRoZggO1x5fsDow==" saltValue="HirNZdl1sYj0ew2lqXxGrw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7" t="s">
        <v>115</v>
      </c>
      <c r="C1" s="107"/>
      <c r="D1" s="107"/>
      <c r="E1" s="107"/>
      <c r="F1" s="107"/>
      <c r="G1" s="107"/>
      <c r="H1" s="107"/>
      <c r="I1" s="1"/>
    </row>
    <row r="2" spans="1:9" ht="15" customHeight="1" x14ac:dyDescent="0.25">
      <c r="A2" s="1"/>
      <c r="B2" s="107"/>
      <c r="C2" s="107"/>
      <c r="D2" s="107"/>
      <c r="E2" s="107"/>
      <c r="F2" s="107"/>
      <c r="G2" s="107"/>
      <c r="H2" s="107"/>
      <c r="I2" s="1"/>
    </row>
    <row r="3" spans="1:9" ht="15" customHeight="1" x14ac:dyDescent="0.25">
      <c r="A3" s="1"/>
      <c r="B3" s="107"/>
      <c r="C3" s="107"/>
      <c r="D3" s="107"/>
      <c r="E3" s="107"/>
      <c r="F3" s="107"/>
      <c r="G3" s="107"/>
      <c r="H3" s="107"/>
      <c r="I3" s="1"/>
    </row>
    <row r="4" spans="1:9" x14ac:dyDescent="0.25">
      <c r="A4" s="1"/>
      <c r="B4" s="114" t="s">
        <v>54</v>
      </c>
      <c r="C4" s="115"/>
      <c r="D4" s="115"/>
      <c r="E4" s="115"/>
      <c r="F4" s="115"/>
      <c r="G4" s="115"/>
      <c r="H4" s="116"/>
      <c r="I4" s="1"/>
    </row>
    <row r="5" spans="1:9" x14ac:dyDescent="0.25">
      <c r="A5" s="1"/>
      <c r="B5" s="111" t="s">
        <v>43</v>
      </c>
      <c r="C5" s="112"/>
      <c r="D5" s="112"/>
      <c r="E5" s="112"/>
      <c r="F5" s="113"/>
      <c r="G5" s="24">
        <v>8580392.7710526492</v>
      </c>
      <c r="H5" s="14" t="s">
        <v>3</v>
      </c>
      <c r="I5" s="1"/>
    </row>
    <row r="6" spans="1:9" x14ac:dyDescent="0.25">
      <c r="A6" s="1"/>
      <c r="B6" s="111" t="s">
        <v>44</v>
      </c>
      <c r="C6" s="112"/>
      <c r="D6" s="112"/>
      <c r="E6" s="112"/>
      <c r="F6" s="113"/>
      <c r="G6" s="24">
        <f>G5*'Fane 12. Nøgletal'!C29</f>
        <v>171607.85542105298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4" t="s">
        <v>55</v>
      </c>
      <c r="C9" s="115"/>
      <c r="D9" s="115"/>
      <c r="E9" s="115"/>
      <c r="F9" s="115"/>
      <c r="G9" s="115"/>
      <c r="H9" s="116"/>
      <c r="I9" s="1"/>
    </row>
    <row r="10" spans="1:9" x14ac:dyDescent="0.25">
      <c r="A10" s="1"/>
      <c r="B10" s="111" t="s">
        <v>45</v>
      </c>
      <c r="C10" s="112"/>
      <c r="D10" s="112"/>
      <c r="E10" s="112"/>
      <c r="F10" s="113"/>
      <c r="G10" s="24">
        <f>(G5-G6)*(1+'Fane 12. Nøgletal'!C9)</f>
        <v>8515576.4840601161</v>
      </c>
      <c r="H10" s="14" t="s">
        <v>3</v>
      </c>
      <c r="I10" s="1"/>
    </row>
    <row r="11" spans="1:9" x14ac:dyDescent="0.25">
      <c r="A11" s="1"/>
      <c r="B11" s="117" t="s">
        <v>46</v>
      </c>
      <c r="C11" s="118"/>
      <c r="D11" s="118"/>
      <c r="E11" s="118"/>
      <c r="F11" s="119"/>
      <c r="G11" s="9">
        <v>0</v>
      </c>
      <c r="H11" s="14" t="s">
        <v>3</v>
      </c>
      <c r="I11" s="1"/>
    </row>
    <row r="12" spans="1:9" x14ac:dyDescent="0.25">
      <c r="A12" s="1"/>
      <c r="B12" s="111" t="s">
        <v>47</v>
      </c>
      <c r="C12" s="112"/>
      <c r="D12" s="112"/>
      <c r="E12" s="112"/>
      <c r="F12" s="113"/>
      <c r="G12" s="24">
        <f>(G10+G11)*'Fane 12. Nøgletal'!C29</f>
        <v>170311.52968120232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4" t="s">
        <v>56</v>
      </c>
      <c r="C15" s="115"/>
      <c r="D15" s="115"/>
      <c r="E15" s="115"/>
      <c r="F15" s="115"/>
      <c r="G15" s="115"/>
      <c r="H15" s="116"/>
      <c r="I15" s="1"/>
    </row>
    <row r="16" spans="1:9" x14ac:dyDescent="0.25">
      <c r="A16" s="1"/>
      <c r="B16" s="111" t="s">
        <v>48</v>
      </c>
      <c r="C16" s="112"/>
      <c r="D16" s="112"/>
      <c r="E16" s="112"/>
      <c r="F16" s="113"/>
      <c r="G16" s="24">
        <f>(G10+G11-G12)*(1+'Fane 12. Nøgletal'!C11)</f>
        <v>8486299.9321079161</v>
      </c>
      <c r="H16" s="14" t="s">
        <v>3</v>
      </c>
      <c r="I16" s="1"/>
    </row>
    <row r="17" spans="1:9" x14ac:dyDescent="0.25">
      <c r="A17" s="1"/>
      <c r="B17" s="111" t="s">
        <v>125</v>
      </c>
      <c r="C17" s="112"/>
      <c r="D17" s="112"/>
      <c r="E17" s="112"/>
      <c r="F17" s="113"/>
      <c r="G17" s="9">
        <v>0</v>
      </c>
      <c r="H17" s="14" t="s">
        <v>3</v>
      </c>
      <c r="I17" s="1"/>
    </row>
    <row r="18" spans="1:9" x14ac:dyDescent="0.25">
      <c r="A18" s="1"/>
      <c r="B18" s="117" t="s">
        <v>49</v>
      </c>
      <c r="C18" s="118"/>
      <c r="D18" s="118"/>
      <c r="E18" s="118"/>
      <c r="F18" s="119"/>
      <c r="G18" s="9">
        <v>0</v>
      </c>
      <c r="H18" s="14" t="s">
        <v>3</v>
      </c>
      <c r="I18" s="1"/>
    </row>
    <row r="19" spans="1:9" x14ac:dyDescent="0.25">
      <c r="A19" s="1"/>
      <c r="B19" s="111" t="s">
        <v>50</v>
      </c>
      <c r="C19" s="112"/>
      <c r="D19" s="112"/>
      <c r="E19" s="112"/>
      <c r="F19" s="113"/>
      <c r="G19" s="24">
        <f>SUM(G16:G18)*'Fane 12. Nøgletal'!C29</f>
        <v>169725.99864215832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4" t="s">
        <v>57</v>
      </c>
      <c r="C22" s="115"/>
      <c r="D22" s="115"/>
      <c r="E22" s="115"/>
      <c r="F22" s="115"/>
      <c r="G22" s="115"/>
      <c r="H22" s="116"/>
      <c r="I22" s="1"/>
    </row>
    <row r="23" spans="1:9" x14ac:dyDescent="0.25">
      <c r="A23" s="1"/>
      <c r="B23" s="111" t="s">
        <v>51</v>
      </c>
      <c r="C23" s="112"/>
      <c r="D23" s="112"/>
      <c r="E23" s="112"/>
      <c r="F23" s="113"/>
      <c r="G23" s="24">
        <f>(SUM(G16:G18)-G19)*(1+'Fane 12. Nøgletal'!C11)</f>
        <v>8457124.0329413284</v>
      </c>
      <c r="H23" s="14" t="s">
        <v>3</v>
      </c>
      <c r="I23" s="1"/>
    </row>
    <row r="24" spans="1:9" x14ac:dyDescent="0.25">
      <c r="A24" s="1"/>
      <c r="B24" s="117" t="s">
        <v>52</v>
      </c>
      <c r="C24" s="118"/>
      <c r="D24" s="118"/>
      <c r="E24" s="118"/>
      <c r="F24" s="119"/>
      <c r="G24" s="9">
        <v>0</v>
      </c>
      <c r="H24" s="14" t="s">
        <v>3</v>
      </c>
      <c r="I24" s="1"/>
    </row>
    <row r="25" spans="1:9" x14ac:dyDescent="0.25">
      <c r="A25" s="1"/>
      <c r="B25" s="111" t="s">
        <v>53</v>
      </c>
      <c r="C25" s="112"/>
      <c r="D25" s="112"/>
      <c r="E25" s="112"/>
      <c r="F25" s="113"/>
      <c r="G25" s="24">
        <f>(G23+G24)*'Fane 12. Nøgletal'!C29</f>
        <v>169142.48065882656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4" t="s">
        <v>175</v>
      </c>
      <c r="C28" s="115"/>
      <c r="D28" s="115"/>
      <c r="E28" s="115"/>
      <c r="F28" s="115"/>
      <c r="G28" s="115"/>
      <c r="H28" s="116"/>
      <c r="I28" s="1"/>
    </row>
    <row r="29" spans="1:9" x14ac:dyDescent="0.25">
      <c r="A29" s="1"/>
      <c r="B29" s="111" t="s">
        <v>60</v>
      </c>
      <c r="C29" s="112"/>
      <c r="D29" s="112"/>
      <c r="E29" s="112"/>
      <c r="F29" s="113"/>
      <c r="G29" s="24">
        <f>(G23+G24-G25)*(1+'Fane 12. Nøgletal'!C13)</f>
        <v>8389094.9272203483</v>
      </c>
      <c r="H29" s="14" t="s">
        <v>3</v>
      </c>
      <c r="I29" s="1"/>
    </row>
    <row r="30" spans="1:9" x14ac:dyDescent="0.25">
      <c r="A30" s="1"/>
      <c r="B30" s="111" t="s">
        <v>147</v>
      </c>
      <c r="C30" s="112"/>
      <c r="D30" s="112"/>
      <c r="E30" s="112"/>
      <c r="F30" s="113"/>
      <c r="G30" s="9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1" t="s">
        <v>159</v>
      </c>
      <c r="C31" s="112"/>
      <c r="D31" s="112"/>
      <c r="E31" s="112"/>
      <c r="F31" s="113"/>
      <c r="G31" s="24">
        <f>(G29+G30)*'Fane 12. Nøgletal'!C29</f>
        <v>167781.89854440695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4" t="s">
        <v>176</v>
      </c>
      <c r="C34" s="115"/>
      <c r="D34" s="115"/>
      <c r="E34" s="115"/>
      <c r="F34" s="115"/>
      <c r="G34" s="115"/>
      <c r="H34" s="116"/>
      <c r="I34" s="1"/>
    </row>
    <row r="35" spans="1:9" x14ac:dyDescent="0.25">
      <c r="A35" s="1"/>
      <c r="B35" s="111" t="s">
        <v>80</v>
      </c>
      <c r="C35" s="112"/>
      <c r="D35" s="112"/>
      <c r="E35" s="112"/>
      <c r="F35" s="113"/>
      <c r="G35" s="24">
        <f>(G29+G30-G31)*(1+'Fane 12. Nøgletal'!C13)</f>
        <v>8321613.0476257885</v>
      </c>
      <c r="H35" s="14" t="s">
        <v>3</v>
      </c>
      <c r="I35" s="1"/>
    </row>
    <row r="36" spans="1:9" x14ac:dyDescent="0.25">
      <c r="A36" s="1"/>
      <c r="B36" s="37" t="s">
        <v>192</v>
      </c>
      <c r="C36" s="57"/>
      <c r="D36" s="57"/>
      <c r="E36" s="57"/>
      <c r="F36" s="58"/>
      <c r="G36" s="9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1" t="s">
        <v>221</v>
      </c>
      <c r="C37" s="112"/>
      <c r="D37" s="112"/>
      <c r="E37" s="112"/>
      <c r="F37" s="113"/>
      <c r="G37" s="9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1" t="s">
        <v>177</v>
      </c>
      <c r="C38" s="112"/>
      <c r="D38" s="112"/>
      <c r="E38" s="112"/>
      <c r="F38" s="113"/>
      <c r="G38" s="24">
        <f>(G35+G37)*'Fane 12. Nøgletal'!C29</f>
        <v>166432.26095251576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4" t="s">
        <v>81</v>
      </c>
      <c r="C41" s="115"/>
      <c r="D41" s="115"/>
      <c r="E41" s="115"/>
      <c r="F41" s="115"/>
      <c r="G41" s="115"/>
      <c r="H41" s="116"/>
      <c r="I41" s="1"/>
    </row>
    <row r="42" spans="1:9" x14ac:dyDescent="0.25">
      <c r="A42" s="1"/>
      <c r="B42" s="111" t="s">
        <v>79</v>
      </c>
      <c r="C42" s="112"/>
      <c r="D42" s="112"/>
      <c r="E42" s="112"/>
      <c r="F42" s="113"/>
      <c r="G42" s="24">
        <f>(G35+G37-G38)*(1+'Fane 12. Nøgletal'!C14)</f>
        <v>8182092.8832692951</v>
      </c>
      <c r="H42" s="14" t="s">
        <v>3</v>
      </c>
      <c r="I42" s="1"/>
    </row>
    <row r="43" spans="1:9" x14ac:dyDescent="0.25">
      <c r="A43" s="1"/>
      <c r="B43" s="111" t="s">
        <v>92</v>
      </c>
      <c r="C43" s="112"/>
      <c r="D43" s="112"/>
      <c r="E43" s="112"/>
      <c r="F43" s="113"/>
      <c r="G43" s="9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1" t="s">
        <v>61</v>
      </c>
      <c r="C44" s="112"/>
      <c r="D44" s="112"/>
      <c r="E44" s="112"/>
      <c r="F44" s="113"/>
      <c r="G44" s="24">
        <f>(G42+G43)*'Fane 12. Nøgletal'!C29</f>
        <v>163641.85766538591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4" t="s">
        <v>148</v>
      </c>
      <c r="C47" s="115"/>
      <c r="D47" s="115"/>
      <c r="E47" s="115"/>
      <c r="F47" s="115"/>
      <c r="G47" s="115"/>
      <c r="H47" s="116"/>
      <c r="I47" s="1"/>
    </row>
    <row r="48" spans="1:9" x14ac:dyDescent="0.25">
      <c r="A48" s="1"/>
      <c r="B48" s="111" t="s">
        <v>149</v>
      </c>
      <c r="C48" s="112"/>
      <c r="D48" s="112"/>
      <c r="E48" s="112"/>
      <c r="F48" s="113"/>
      <c r="G48" s="24">
        <f>(G42+G43-G44)*(1+'Fane 12. Nøgletal'!C14)</f>
        <v>8044911.913988403</v>
      </c>
      <c r="H48" s="14" t="s">
        <v>3</v>
      </c>
      <c r="I48" s="1"/>
    </row>
    <row r="49" spans="1:9" x14ac:dyDescent="0.25">
      <c r="A49" s="1"/>
      <c r="B49" s="111" t="s">
        <v>150</v>
      </c>
      <c r="C49" s="112"/>
      <c r="D49" s="112"/>
      <c r="E49" s="112"/>
      <c r="F49" s="113"/>
      <c r="G49" s="9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1" t="s">
        <v>151</v>
      </c>
      <c r="C50" s="112"/>
      <c r="D50" s="112"/>
      <c r="E50" s="112"/>
      <c r="F50" s="113"/>
      <c r="G50" s="24">
        <f>(G48+G49)*'Fane 12. Nøgletal'!C29</f>
        <v>160898.23827976806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4" t="s">
        <v>198</v>
      </c>
      <c r="C53" s="115"/>
      <c r="D53" s="115"/>
      <c r="E53" s="115"/>
      <c r="F53" s="115"/>
      <c r="G53" s="115"/>
      <c r="H53" s="116"/>
      <c r="I53" s="1"/>
    </row>
    <row r="54" spans="1:9" x14ac:dyDescent="0.25">
      <c r="A54" s="1"/>
      <c r="B54" s="111" t="s">
        <v>199</v>
      </c>
      <c r="C54" s="112"/>
      <c r="D54" s="112"/>
      <c r="E54" s="112"/>
      <c r="F54" s="113"/>
      <c r="G54" s="24">
        <f>(G48+G49-G50)*(1+'Fane 12. Nøgletal'!C14)</f>
        <v>7910030.9208384743</v>
      </c>
      <c r="H54" s="14" t="s">
        <v>3</v>
      </c>
      <c r="I54" s="1"/>
    </row>
    <row r="55" spans="1:9" x14ac:dyDescent="0.25">
      <c r="A55" s="1"/>
      <c r="B55" s="111" t="s">
        <v>200</v>
      </c>
      <c r="C55" s="112"/>
      <c r="D55" s="112"/>
      <c r="E55" s="112"/>
      <c r="F55" s="113"/>
      <c r="G55" s="9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1" t="s">
        <v>201</v>
      </c>
      <c r="C56" s="112"/>
      <c r="D56" s="112"/>
      <c r="E56" s="112"/>
      <c r="F56" s="113"/>
      <c r="G56" s="24">
        <f>(G54+G55)*'Fane 12. Nøgletal'!C29</f>
        <v>158200.61841676949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9QNApWhXcRy5jM716ALbuJyF70dcnGaZYE0XDvA8Ke7H8TohqVLppIuR7H2yKZ23oxHCjICmUNELn3gYkJqiZA==" saltValue="x1S2+T7gLbFHTPrvc5aKhQ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0" t="s">
        <v>116</v>
      </c>
      <c r="C1" s="121"/>
      <c r="D1" s="121"/>
      <c r="E1" s="121"/>
      <c r="F1" s="121"/>
      <c r="G1" s="121"/>
      <c r="H1" s="121"/>
      <c r="I1" s="1"/>
    </row>
    <row r="2" spans="1:9" ht="19.899999999999999" customHeight="1" x14ac:dyDescent="0.25">
      <c r="A2" s="1"/>
      <c r="B2" s="121"/>
      <c r="C2" s="121"/>
      <c r="D2" s="121"/>
      <c r="E2" s="121"/>
      <c r="F2" s="121"/>
      <c r="G2" s="121"/>
      <c r="H2" s="121"/>
      <c r="I2" s="1"/>
    </row>
    <row r="3" spans="1:9" ht="15" customHeight="1" x14ac:dyDescent="0.25">
      <c r="A3" s="1"/>
      <c r="B3" s="122"/>
      <c r="C3" s="122"/>
      <c r="D3" s="122"/>
      <c r="E3" s="122"/>
      <c r="F3" s="122"/>
      <c r="G3" s="122"/>
      <c r="H3" s="122"/>
      <c r="I3" s="1"/>
    </row>
    <row r="4" spans="1:9" x14ac:dyDescent="0.25">
      <c r="A4" s="1"/>
      <c r="B4" s="114" t="s">
        <v>58</v>
      </c>
      <c r="C4" s="115"/>
      <c r="D4" s="115"/>
      <c r="E4" s="115"/>
      <c r="F4" s="115"/>
      <c r="G4" s="115"/>
      <c r="H4" s="116"/>
      <c r="I4" s="1"/>
    </row>
    <row r="5" spans="1:9" x14ac:dyDescent="0.25">
      <c r="A5" s="1"/>
      <c r="B5" s="111" t="s">
        <v>62</v>
      </c>
      <c r="C5" s="112"/>
      <c r="D5" s="112"/>
      <c r="E5" s="112"/>
      <c r="F5" s="113"/>
      <c r="G5" s="24">
        <v>4768503.5598060368</v>
      </c>
      <c r="H5" s="14" t="s">
        <v>3</v>
      </c>
      <c r="I5" s="1"/>
    </row>
    <row r="6" spans="1:9" x14ac:dyDescent="0.25">
      <c r="A6" s="1"/>
      <c r="B6" s="111" t="s">
        <v>59</v>
      </c>
      <c r="C6" s="112"/>
      <c r="D6" s="112"/>
      <c r="E6" s="112"/>
      <c r="F6" s="113"/>
      <c r="G6" s="24">
        <f>G5*'Fane 12. Nøgletal'!C19</f>
        <v>43393.382394234934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4" t="s">
        <v>63</v>
      </c>
      <c r="C9" s="115"/>
      <c r="D9" s="115"/>
      <c r="E9" s="115"/>
      <c r="F9" s="115"/>
      <c r="G9" s="115"/>
      <c r="H9" s="116"/>
      <c r="I9" s="1"/>
    </row>
    <row r="10" spans="1:9" x14ac:dyDescent="0.25">
      <c r="A10" s="1"/>
      <c r="B10" s="111" t="s">
        <v>64</v>
      </c>
      <c r="C10" s="112"/>
      <c r="D10" s="112"/>
      <c r="E10" s="112"/>
      <c r="F10" s="113"/>
      <c r="G10" s="24">
        <f>(G5-G6)*(1+'Fane 12. Nøgletal'!C9)</f>
        <v>4785119.0766649321</v>
      </c>
      <c r="H10" s="14" t="s">
        <v>3</v>
      </c>
      <c r="I10" s="1"/>
    </row>
    <row r="11" spans="1:9" x14ac:dyDescent="0.25">
      <c r="A11" s="1"/>
      <c r="B11" s="117" t="s">
        <v>65</v>
      </c>
      <c r="C11" s="118"/>
      <c r="D11" s="118"/>
      <c r="E11" s="118"/>
      <c r="F11" s="119"/>
      <c r="G11" s="42">
        <v>0</v>
      </c>
      <c r="H11" s="14" t="s">
        <v>3</v>
      </c>
      <c r="I11" s="1"/>
    </row>
    <row r="12" spans="1:9" x14ac:dyDescent="0.25">
      <c r="A12" s="1"/>
      <c r="B12" s="111" t="s">
        <v>66</v>
      </c>
      <c r="C12" s="112"/>
      <c r="D12" s="112"/>
      <c r="E12" s="112"/>
      <c r="F12" s="113"/>
      <c r="G12" s="24">
        <f>G10*'Fane 12. Nøgletal'!C19+G11*'Fane 12. Nøgletal'!C20</f>
        <v>43544.583597650882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4" t="s">
        <v>67</v>
      </c>
      <c r="C15" s="115"/>
      <c r="D15" s="115"/>
      <c r="E15" s="115"/>
      <c r="F15" s="115"/>
      <c r="G15" s="115"/>
      <c r="H15" s="116"/>
      <c r="I15" s="1"/>
    </row>
    <row r="16" spans="1:9" x14ac:dyDescent="0.25">
      <c r="A16" s="1"/>
      <c r="B16" s="111" t="s">
        <v>68</v>
      </c>
      <c r="C16" s="112"/>
      <c r="D16" s="112"/>
      <c r="E16" s="112"/>
      <c r="F16" s="113"/>
      <c r="G16" s="24">
        <f>(G10+G11-G12)*(1+'Fane 12. Nøgletal'!C11)</f>
        <v>4821707.1020001182</v>
      </c>
      <c r="H16" s="14" t="s">
        <v>3</v>
      </c>
      <c r="I16" s="1"/>
    </row>
    <row r="17" spans="1:9" x14ac:dyDescent="0.25">
      <c r="A17" s="1"/>
      <c r="B17" s="111" t="s">
        <v>126</v>
      </c>
      <c r="C17" s="112"/>
      <c r="D17" s="112"/>
      <c r="E17" s="112"/>
      <c r="F17" s="113"/>
      <c r="G17" s="24">
        <v>-143201.8930653448</v>
      </c>
      <c r="H17" s="14" t="s">
        <v>3</v>
      </c>
      <c r="I17" s="1"/>
    </row>
    <row r="18" spans="1:9" x14ac:dyDescent="0.25">
      <c r="A18" s="1"/>
      <c r="B18" s="117" t="s">
        <v>69</v>
      </c>
      <c r="C18" s="118"/>
      <c r="D18" s="118"/>
      <c r="E18" s="118"/>
      <c r="F18" s="119"/>
      <c r="G18" s="24">
        <v>27009.282047589993</v>
      </c>
      <c r="H18" s="14" t="s">
        <v>3</v>
      </c>
      <c r="I18" s="1"/>
    </row>
    <row r="19" spans="1:9" x14ac:dyDescent="0.25">
      <c r="A19" s="1"/>
      <c r="B19" s="111" t="s">
        <v>70</v>
      </c>
      <c r="C19" s="112"/>
      <c r="D19" s="112"/>
      <c r="E19" s="112"/>
      <c r="F19" s="113"/>
      <c r="G19" s="24">
        <f>(G16+G17+G18)*'Fane 12. Nøgletal'!C21</f>
        <v>40937.97607154656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4" t="s">
        <v>71</v>
      </c>
      <c r="C22" s="115"/>
      <c r="D22" s="115"/>
      <c r="E22" s="115"/>
      <c r="F22" s="115"/>
      <c r="G22" s="115"/>
      <c r="H22" s="116"/>
      <c r="I22" s="1"/>
    </row>
    <row r="23" spans="1:9" x14ac:dyDescent="0.25">
      <c r="A23" s="1"/>
      <c r="B23" s="111" t="s">
        <v>72</v>
      </c>
      <c r="C23" s="112"/>
      <c r="D23" s="112"/>
      <c r="E23" s="112"/>
      <c r="F23" s="113"/>
      <c r="G23" s="24">
        <f>(SUM(G16:G18)-G19)*(1+'Fane 12. Nøgletal'!C11)</f>
        <v>4743407.8580128094</v>
      </c>
      <c r="H23" s="14" t="s">
        <v>3</v>
      </c>
      <c r="I23" s="1"/>
    </row>
    <row r="24" spans="1:9" x14ac:dyDescent="0.25">
      <c r="A24" s="1"/>
      <c r="B24" s="117" t="s">
        <v>73</v>
      </c>
      <c r="C24" s="118"/>
      <c r="D24" s="118"/>
      <c r="E24" s="118"/>
      <c r="F24" s="119"/>
      <c r="G24" s="24">
        <v>594050.06791785604</v>
      </c>
      <c r="H24" s="14" t="s">
        <v>3</v>
      </c>
      <c r="I24" s="1"/>
    </row>
    <row r="25" spans="1:9" x14ac:dyDescent="0.25">
      <c r="A25" s="1"/>
      <c r="B25" s="111" t="s">
        <v>74</v>
      </c>
      <c r="C25" s="112"/>
      <c r="D25" s="112"/>
      <c r="E25" s="112"/>
      <c r="F25" s="113"/>
      <c r="G25" s="24">
        <f>G23*'Fane 12. Nøgletal'!C21+G24*'Fane 12. Nøgletal'!C22</f>
        <v>58138.670293578551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4" t="s">
        <v>173</v>
      </c>
      <c r="C28" s="115"/>
      <c r="D28" s="115"/>
      <c r="E28" s="115"/>
      <c r="F28" s="115"/>
      <c r="G28" s="115"/>
      <c r="H28" s="116"/>
      <c r="I28" s="1"/>
    </row>
    <row r="29" spans="1:9" x14ac:dyDescent="0.25">
      <c r="A29" s="1"/>
      <c r="B29" s="111" t="s">
        <v>75</v>
      </c>
      <c r="C29" s="112"/>
      <c r="D29" s="112"/>
      <c r="E29" s="112"/>
      <c r="F29" s="113"/>
      <c r="G29" s="24">
        <f>(G23+G24-G25)*(1+'Fane 12. Nøgletal'!C13)</f>
        <v>5343726.9505558591</v>
      </c>
      <c r="H29" s="14" t="s">
        <v>3</v>
      </c>
      <c r="I29" s="1"/>
    </row>
    <row r="30" spans="1:9" x14ac:dyDescent="0.25">
      <c r="A30" s="1"/>
      <c r="B30" s="111" t="s">
        <v>152</v>
      </c>
      <c r="C30" s="112"/>
      <c r="D30" s="112"/>
      <c r="E30" s="112"/>
      <c r="F30" s="113"/>
      <c r="G30" s="24">
        <v>212463.76659732001</v>
      </c>
      <c r="H30" s="14" t="s">
        <v>3</v>
      </c>
      <c r="I30" s="1"/>
    </row>
    <row r="31" spans="1:9" x14ac:dyDescent="0.25">
      <c r="A31" s="1"/>
      <c r="B31" s="111" t="s">
        <v>174</v>
      </c>
      <c r="C31" s="112"/>
      <c r="D31" s="112"/>
      <c r="E31" s="112"/>
      <c r="F31" s="113"/>
      <c r="G31" s="24">
        <f>(G29+G30)*'Fane 12. Nøgletal'!C23</f>
        <v>152795.24472171243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4" t="s">
        <v>178</v>
      </c>
      <c r="C34" s="115"/>
      <c r="D34" s="115"/>
      <c r="E34" s="115"/>
      <c r="F34" s="115"/>
      <c r="G34" s="115"/>
      <c r="H34" s="116"/>
      <c r="I34" s="1"/>
    </row>
    <row r="35" spans="1:9" x14ac:dyDescent="0.25">
      <c r="A35" s="1"/>
      <c r="B35" s="111" t="s">
        <v>78</v>
      </c>
      <c r="C35" s="112"/>
      <c r="D35" s="112"/>
      <c r="E35" s="112"/>
      <c r="F35" s="113"/>
      <c r="G35" s="24">
        <f>(G29+G30-G31)*(1+'Fane 12. Nøgletal'!C13)</f>
        <v>5469316.8971951306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203956.84140312628</v>
      </c>
      <c r="H36" s="14" t="s">
        <v>3</v>
      </c>
      <c r="I36" s="38"/>
    </row>
    <row r="37" spans="1:9" x14ac:dyDescent="0.25">
      <c r="A37" s="1"/>
      <c r="B37" s="111" t="s">
        <v>193</v>
      </c>
      <c r="C37" s="112"/>
      <c r="D37" s="112"/>
      <c r="E37" s="112"/>
      <c r="F37" s="113"/>
      <c r="G37" s="42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25">
      <c r="A38" s="1"/>
      <c r="B38" s="111" t="s">
        <v>179</v>
      </c>
      <c r="C38" s="112"/>
      <c r="D38" s="112"/>
      <c r="E38" s="112"/>
      <c r="F38" s="113"/>
      <c r="G38" s="24">
        <f>G35*'Fane 12. Nøgletal'!C23+G37*'Fane 12. Nøgletal'!C24</f>
        <v>150406.2146728661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4" t="s">
        <v>82</v>
      </c>
      <c r="C41" s="115"/>
      <c r="D41" s="115"/>
      <c r="E41" s="115"/>
      <c r="F41" s="115"/>
      <c r="G41" s="115"/>
      <c r="H41" s="116"/>
      <c r="I41" s="1"/>
    </row>
    <row r="42" spans="1:9" x14ac:dyDescent="0.25">
      <c r="A42" s="1"/>
      <c r="B42" s="111" t="s">
        <v>77</v>
      </c>
      <c r="C42" s="112"/>
      <c r="D42" s="112"/>
      <c r="E42" s="112"/>
      <c r="F42" s="113"/>
      <c r="G42" s="24">
        <f>(G35+G37-G38)*(1+'Fane 12. Nøgletal'!C14)</f>
        <v>5336463.0877745878</v>
      </c>
      <c r="H42" s="14" t="s">
        <v>3</v>
      </c>
      <c r="I42" s="1"/>
    </row>
    <row r="43" spans="1:9" x14ac:dyDescent="0.25">
      <c r="A43" s="1"/>
      <c r="B43" s="111" t="s">
        <v>96</v>
      </c>
      <c r="C43" s="112"/>
      <c r="D43" s="112"/>
      <c r="E43" s="112"/>
      <c r="F43" s="113"/>
      <c r="G43" s="42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1" t="s">
        <v>76</v>
      </c>
      <c r="C44" s="112"/>
      <c r="D44" s="112"/>
      <c r="E44" s="112"/>
      <c r="F44" s="113"/>
      <c r="G44" s="24">
        <f>(G42+G43)*'Fane 12. Nøgletal'!C24</f>
        <v>78979.6536990639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4" t="s">
        <v>153</v>
      </c>
      <c r="C47" s="115"/>
      <c r="D47" s="115"/>
      <c r="E47" s="115"/>
      <c r="F47" s="115"/>
      <c r="G47" s="115"/>
      <c r="H47" s="116"/>
      <c r="I47" s="1"/>
    </row>
    <row r="48" spans="1:9" x14ac:dyDescent="0.25">
      <c r="A48" s="1"/>
      <c r="B48" s="111" t="s">
        <v>154</v>
      </c>
      <c r="C48" s="112"/>
      <c r="D48" s="112"/>
      <c r="E48" s="112"/>
      <c r="F48" s="113"/>
      <c r="G48" s="24">
        <f>(G42+G43-G44)*(1+'Fane 12. Nøgletal'!C14)</f>
        <v>5274833.129407974</v>
      </c>
      <c r="H48" s="14" t="s">
        <v>3</v>
      </c>
      <c r="I48" s="1"/>
    </row>
    <row r="49" spans="1:9" x14ac:dyDescent="0.25">
      <c r="A49" s="1"/>
      <c r="B49" s="111" t="s">
        <v>155</v>
      </c>
      <c r="C49" s="112"/>
      <c r="D49" s="112"/>
      <c r="E49" s="112"/>
      <c r="F49" s="113"/>
      <c r="G49" s="42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1" t="s">
        <v>156</v>
      </c>
      <c r="C50" s="112"/>
      <c r="D50" s="112"/>
      <c r="E50" s="112"/>
      <c r="F50" s="113"/>
      <c r="G50" s="24">
        <f>(G48+G49)*'Fane 12. Nøgletal'!C24</f>
        <v>78067.530315238022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4" t="s">
        <v>194</v>
      </c>
      <c r="C53" s="115"/>
      <c r="D53" s="115"/>
      <c r="E53" s="115"/>
      <c r="F53" s="115"/>
      <c r="G53" s="115"/>
      <c r="H53" s="116"/>
      <c r="I53" s="1"/>
    </row>
    <row r="54" spans="1:9" x14ac:dyDescent="0.25">
      <c r="A54" s="1"/>
      <c r="B54" s="111" t="s">
        <v>195</v>
      </c>
      <c r="C54" s="112"/>
      <c r="D54" s="112"/>
      <c r="E54" s="112"/>
      <c r="F54" s="113"/>
      <c r="G54" s="24">
        <f>(G48+G49-G50)*(1+'Fane 12. Nøgletal'!C14)</f>
        <v>5213914.925569742</v>
      </c>
      <c r="H54" s="14" t="s">
        <v>3</v>
      </c>
      <c r="I54" s="1"/>
    </row>
    <row r="55" spans="1:9" x14ac:dyDescent="0.25">
      <c r="A55" s="1"/>
      <c r="B55" s="111" t="s">
        <v>196</v>
      </c>
      <c r="C55" s="112"/>
      <c r="D55" s="112"/>
      <c r="E55" s="112"/>
      <c r="F55" s="113"/>
      <c r="G55" s="42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1" t="s">
        <v>197</v>
      </c>
      <c r="C56" s="112"/>
      <c r="D56" s="112"/>
      <c r="E56" s="112"/>
      <c r="F56" s="113"/>
      <c r="G56" s="24">
        <f>(G54+G55)*'Fane 12. Nøgletal'!C24</f>
        <v>77165.940898432178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zH/n3MLCCapNF69dLZKgz0WPMGoKRu74nciMuk8ylwF4WLCfyDLLna0Jxeldm4GXR99pfmyBErGGln4JcswVAg==" saltValue="JZICa3YoV1XtKAY42u3SYQ==" spinCount="100000" sheet="1" objects="1" scenarios="1"/>
  <mergeCells count="37"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48:F48"/>
    <mergeCell ref="B49:F49"/>
    <mergeCell ref="B50:F50"/>
    <mergeCell ref="B37:F37"/>
    <mergeCell ref="B43:F43"/>
    <mergeCell ref="B42:F42"/>
    <mergeCell ref="B41:H41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4" t="s">
        <v>9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11" t="s">
        <v>105</v>
      </c>
      <c r="C9" s="112"/>
      <c r="D9" s="112"/>
      <c r="E9" s="112"/>
      <c r="F9" s="113"/>
      <c r="G9" s="44">
        <v>0.02</v>
      </c>
      <c r="H9" s="14"/>
      <c r="I9" s="1"/>
    </row>
    <row r="10" spans="1:9" x14ac:dyDescent="0.25">
      <c r="A10" s="1"/>
      <c r="B10" s="111" t="s">
        <v>141</v>
      </c>
      <c r="C10" s="112"/>
      <c r="D10" s="112"/>
      <c r="E10" s="112"/>
      <c r="F10" s="113"/>
      <c r="G10" s="44">
        <v>1.5696866615400769E-2</v>
      </c>
      <c r="H10" s="14"/>
      <c r="I10" s="1"/>
    </row>
    <row r="11" spans="1:9" x14ac:dyDescent="0.25">
      <c r="A11" s="1"/>
      <c r="B11" s="50"/>
      <c r="C11" s="51"/>
      <c r="D11" s="51"/>
      <c r="E11" s="51"/>
      <c r="F11" s="51"/>
      <c r="G11" s="51"/>
      <c r="H11" s="20"/>
      <c r="I11" s="1"/>
    </row>
    <row r="12" spans="1:9" ht="14.25" customHeight="1" x14ac:dyDescent="0.25">
      <c r="A12" s="1"/>
      <c r="B12" s="123" t="s">
        <v>191</v>
      </c>
      <c r="C12" s="124"/>
      <c r="D12" s="124"/>
      <c r="E12" s="124"/>
      <c r="F12" s="124"/>
      <c r="G12" s="124"/>
      <c r="H12" s="125"/>
      <c r="I12" s="1"/>
    </row>
    <row r="13" spans="1:9" ht="12.75" customHeight="1" x14ac:dyDescent="0.25">
      <c r="A13" s="18"/>
      <c r="B13" s="126"/>
      <c r="C13" s="127"/>
      <c r="D13" s="127"/>
      <c r="E13" s="127"/>
      <c r="F13" s="127"/>
      <c r="G13" s="127"/>
      <c r="H13" s="128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UhXDN1mZ03dxXkFosiUIQZqpyPRqab9QgYoDzYmQlLXpwZmvHm4+CmH9O0h/X7hsDWMBVBoenfTf51MWOiuDjA==" saltValue="5BLB9e0wr/GD2NV3oFGiq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2021-09-06T09:55:27Z</dcterms:modified>
</cp:coreProperties>
</file>