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ANDE VANDVÆRK A.M.B.A (V03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G6" i="36" l="1"/>
  <c r="G6" i="30"/>
  <c r="E12" i="32" l="1"/>
  <c r="E35" i="32" l="1"/>
  <c r="E30" i="32"/>
  <c r="G10" i="36" l="1"/>
  <c r="G12" i="36" l="1"/>
  <c r="G16" i="36" s="1"/>
  <c r="G19" i="36" s="1"/>
  <c r="G23" i="36" s="1"/>
  <c r="G25" i="36" s="1"/>
  <c r="G29" i="36" s="1"/>
  <c r="E26" i="32" l="1"/>
  <c r="E37" i="32" s="1"/>
  <c r="C23" i="23" l="1"/>
  <c r="C23" i="15"/>
  <c r="C23" i="22"/>
  <c r="C30" i="2"/>
  <c r="C14" i="19"/>
  <c r="C11" i="29" l="1"/>
  <c r="C12" i="29" s="1"/>
  <c r="G30" i="30"/>
  <c r="C11" i="2" l="1"/>
  <c r="G36" i="36" s="1"/>
  <c r="C10" i="2"/>
  <c r="G36" i="30" s="1"/>
  <c r="E10" i="11" l="1"/>
  <c r="G10" i="30" l="1"/>
  <c r="G12" i="30" l="1"/>
  <c r="G16" i="30" s="1"/>
  <c r="G19" i="30" s="1"/>
  <c r="G23" i="30" s="1"/>
  <c r="E32" i="2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G25" i="30" l="1"/>
  <c r="G29" i="30" s="1"/>
  <c r="C10" i="15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31" i="30" l="1"/>
  <c r="G35" i="30" l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<sst xmlns="http://schemas.openxmlformats.org/spreadsheetml/2006/main" count="620" uniqueCount="255">
  <si>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</si>
  <si>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</si>
  <si>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</si>
  <si>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</si>
  <si>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</si>
  <si>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</si>
  <si>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</si>
  <si>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</si>
  <si>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</si>
  <si>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</si>
  <si>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</si>
  <si>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</si>
  <si>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</si>
  <si>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</si>
  <si>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</si>
  <si>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</si>
  <si>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</si>
  <si>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</si>
  <si>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</si>
  <si>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</si>
  <si>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</si>
  <si>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</si>
  <si>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</si>
  <si>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</si>
  <si>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</si>
  <si>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</si>
  <si>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</si>
  <si>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</si>
  <si>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</si>
  <si>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</si>
  <si>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</si>
  <si>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</si>
  <si>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</si>
  <si>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</si>
  <si>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</si>
  <si>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</si>
  <si>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</si>
  <si>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</si>
  <si>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</si>
  <si>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</si>
  <si>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</si>
  <si>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</si>
  <si>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</si>
  <si>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</si>
  <si>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</si>
  <si>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</si>
  <si>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</si>
  <si>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</si>
  <si>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</si>
  <si>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</si>
  <si>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</si>
  <si>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</si>
  <si>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</si>
  <si>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</si>
  <si>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</si>
  <si>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</si>
  <si>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</si>
  <si>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</si>
  <si>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</si>
  <si>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</si>
  <si>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</si>
  <si>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</si>
  <si>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</si>
  <si>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</si>
  <si>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</si>
  <si>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</si>
  <si>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</si>
  <si>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</si>
  <si>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</si>
  <si>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</si>
  <si>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</si>
  <si>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</si>
  <si>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</si>
  <si>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</si>
  <si>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</si>
  <si>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</si>
  <si>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</si>
  <si>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</si>
  <si>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</si>
  <si>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</si>
  <si>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</si>
  <si>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</si>
  <si>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</si>
  <si>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</si>
  <si>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</si>
  <si>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</si>
  <si>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</si>
  <si>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</si>
  <si>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</si>
  <si>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</si>
  <si>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</si>
  <si>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</si>
  <si>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</si>
  <si>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</si>
  <si>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</si>
  <si>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</si>
  <si>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</si>
  <si>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</si>
  <si>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</si>
  <si>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</si>
  <si>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</si>
  <si>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</si>
  <si>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</si>
  <si>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</si>
  <si>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</si>
  <si>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</si>
  <si>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</si>
  <si>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</si>
  <si>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</si>
  <si>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</si>
  <si>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</si>
  <si>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</si>
  <si>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</si>
  <si>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</si>
  <si>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</si>
  <si>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</si>
  <si>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</si>
  <si>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</si>
  <si>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</si>
  <si>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</si>
  <si>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</si>
  <si>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</si>
  <si>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</si>
  <si>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</si>
  <si>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</si>
  <si>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</si>
  <si>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</si>
  <si>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</si>
  <si>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</si>
  <si>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</si>
  <si>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</si>
  <si>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</si>
  <si>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</si>
  <si>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</si>
  <si>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</si>
  <si>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</si>
  <si>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</si>
  <si>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</si>
  <si>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</si>
  <si>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</si>
  <si>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</si>
  <si>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</si>
  <si>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</si>
  <si>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</si>
  <si>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</si>
  <si>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</si>
  <si>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</si>
  <si>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</si>
  <si>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</si>
  <si>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</si>
  <si>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</si>
  <si>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</si>
  <si>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</si>
  <si>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</si>
  <si>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</si>
  <si>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</si>
  <si>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</si>
  <si>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</si>
  <si>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</si>
  <si>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</si>
  <si>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</si>
  <si>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</si>
  <si>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</si>
  <si>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</si>
  <si>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</si>
  <si>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</si>
  <si>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</si>
  <si>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</si>
  <si>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</si>
  <si>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</si>
  <si>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</si>
  <si>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</si>
  <si>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</si>
  <si>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</si>
  <si>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</si>
  <si>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</si>
  <si>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</si>
  <si>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</si>
  <si>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</si>
  <si>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</si>
  <si>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</si>
  <si>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</si>
  <si>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</si>
  <si>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</si>
  <si>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</si>
  <si>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</si>
  <si>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</si>
  <si>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</si>
  <si>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</si>
  <si>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</si>
  <si>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</si>
  <si>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</si>
  <si>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</si>
  <si>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</si>
  <si>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</si>
  <si>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</si>
  <si>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</si>
  <si>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</si>
  <si>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</si>
  <si>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</si>
  <si>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</si>
  <si>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</si>
  <si>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</si>
  <si>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</si>
  <si>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</si>
  <si>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</si>
  <si>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</si>
  <si>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</si>
  <si>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</si>
  <si>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</si>
  <si>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</si>
  <si>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</si>
  <si>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</si>
  <si>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</si>
  <si>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</si>
  <si>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</si>
  <si>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</si>
  <si>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</si>
  <si>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</si>
  <si>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</si>
  <si>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</si>
  <si>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</si>
  <si>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</si>
  <si>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</si>
  <si>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</si>
  <si>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</si>
  <si>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</si>
  <si>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</si>
  <si>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</si>
  <si>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</si>
  <si>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</si>
  <si>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</si>
  <si>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</si>
  <si>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</si>
  <si>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</si>
  <si>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</si>
  <si>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</si>
  <si>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</si>
  <si>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</si>
  <si>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</si>
  <si>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</si>
  <si>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</si>
  <si>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</si>
  <si>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</si>
  <si>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Generelt effektiviseringskrav - gammel</t>
  </si>
  <si>
    <t>IR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</si>
  <si>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</si>
  <si>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</si>
  <si>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</si>
  <si>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</si>
  <si>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</si>
  <si>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</si>
  <si>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Ingen engangstillæg</t>
  </si>
  <si>
    <t>Øvrige afgifter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</si>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</sst>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3" fontId="8" fillId="8" borderId="1" xfId="0" quotePrefix="1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10" fontId="0" fillId="0" borderId="13" xfId="4" applyNumberFormat="1" applyFont="1" applyFill="1" applyBorder="1" applyProtection="1"/>
    <xf numFmtId="10" fontId="0" fillId="0" borderId="1" xfId="0" applyNumberFormat="1" applyBorder="1" applyProtection="1"/>
    <xf numFmtId="3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4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5">
      <c r="A8" s="1"/>
      <c r="B8" s="1"/>
      <c r="C8" s="4"/>
      <c r="D8" s="79" t="s">
        <v>254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4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4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45">
      <c r="A16" s="1"/>
      <c r="B16" s="1"/>
      <c r="C16" s="6" t="s">
        <v>36</v>
      </c>
      <c r="D16" s="71" t="s">
        <v>180</v>
      </c>
      <c r="E16" s="72"/>
      <c r="F16" s="72"/>
      <c r="G16" s="73"/>
      <c r="H16" s="1"/>
      <c r="I16" s="1"/>
    </row>
    <row r="17" spans="1:9" x14ac:dyDescent="0.45">
      <c r="A17" s="1"/>
      <c r="B17" s="1"/>
      <c r="C17" s="6" t="s">
        <v>127</v>
      </c>
      <c r="D17" s="71" t="s">
        <v>181</v>
      </c>
      <c r="E17" s="72"/>
      <c r="F17" s="72"/>
      <c r="G17" s="73"/>
      <c r="H17" s="1"/>
      <c r="I17" s="1"/>
    </row>
    <row r="18" spans="1:9" x14ac:dyDescent="0.4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4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4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45">
      <c r="A22" s="1"/>
      <c r="B22" s="1"/>
      <c r="C22" s="6" t="s">
        <v>87</v>
      </c>
      <c r="D22" s="75" t="s">
        <v>182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JnuqSW8BCI6ajAK6XIukBKVSvCfWbUegX2R4MzRWbwkUtEdfVBDgb3mXEb8JxxMBk99KIspCgJodTwaJA/Saw==" saltValue="6glnwY3TGcdKtPS2Vam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9" t="s">
        <v>117</v>
      </c>
      <c r="C3" s="89"/>
      <c r="D3" s="89"/>
      <c r="E3" s="1"/>
      <c r="F3" s="1"/>
    </row>
    <row r="4" spans="1:6" ht="15" customHeight="1" x14ac:dyDescent="0.45">
      <c r="A4" s="1"/>
      <c r="B4" s="89"/>
      <c r="C4" s="89"/>
      <c r="D4" s="89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15" t="s">
        <v>202</v>
      </c>
      <c r="C8" s="116"/>
      <c r="D8" s="117"/>
      <c r="E8" s="1"/>
      <c r="F8" s="1"/>
    </row>
    <row r="9" spans="1:6" ht="15" customHeight="1" x14ac:dyDescent="0.45">
      <c r="A9" s="1"/>
      <c r="B9" s="45" t="s">
        <v>33</v>
      </c>
      <c r="C9" s="11" t="s">
        <v>203</v>
      </c>
      <c r="D9" s="11"/>
      <c r="E9" s="1"/>
      <c r="F9" s="1"/>
    </row>
    <row r="10" spans="1:6" ht="15" customHeight="1" x14ac:dyDescent="0.45">
      <c r="A10" s="1"/>
      <c r="B10" s="60" t="s">
        <v>227</v>
      </c>
      <c r="C10" s="9">
        <v>5647954</v>
      </c>
      <c r="D10" s="14" t="s">
        <v>3</v>
      </c>
      <c r="E10" s="1"/>
      <c r="F10" s="1"/>
    </row>
    <row r="11" spans="1:6" x14ac:dyDescent="0.45">
      <c r="A11" s="1"/>
      <c r="B11" s="60" t="s">
        <v>228</v>
      </c>
      <c r="C11" s="9">
        <v>53913</v>
      </c>
      <c r="D11" s="14" t="s">
        <v>3</v>
      </c>
      <c r="E11" s="1"/>
      <c r="F11" s="1"/>
    </row>
    <row r="12" spans="1:6" x14ac:dyDescent="0.45">
      <c r="A12" s="1"/>
      <c r="B12" s="60" t="s">
        <v>229</v>
      </c>
      <c r="C12" s="9">
        <v>14060</v>
      </c>
      <c r="D12" s="14" t="s">
        <v>3</v>
      </c>
      <c r="E12" s="1"/>
      <c r="F12" s="1"/>
    </row>
    <row r="13" spans="1:6" x14ac:dyDescent="0.45">
      <c r="A13" s="1"/>
      <c r="B13" s="60" t="s">
        <v>253</v>
      </c>
      <c r="C13" s="9">
        <v>13124</v>
      </c>
      <c r="D13" s="14" t="s">
        <v>3</v>
      </c>
      <c r="E13" s="1"/>
      <c r="F13" s="1"/>
    </row>
    <row r="14" spans="1:6" x14ac:dyDescent="0.45">
      <c r="A14" s="1"/>
      <c r="B14" s="48" t="s">
        <v>204</v>
      </c>
      <c r="C14" s="12">
        <f>SUM(C10:C13)</f>
        <v>5729051</v>
      </c>
      <c r="D14" s="13" t="s">
        <v>3</v>
      </c>
      <c r="E14" s="1"/>
      <c r="F14" s="1"/>
    </row>
    <row r="15" spans="1:6" x14ac:dyDescent="0.45">
      <c r="A15" s="1"/>
      <c r="B15" s="48" t="s">
        <v>205</v>
      </c>
      <c r="C15" s="12">
        <f>C14*(1+'Fane 12. Nøgletal'!C14)^2</f>
        <v>5766925.1259653913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lBdEFZ4nHEfO+7e9l0uVMYR5Ogul78c4R2wQ+i7aDrMIeY/MOV2VDCct/B9APV3J5qQivxcf2L9zAi/FRPuZag==" saltValue="rbvmFwkEtqoK6GSL8oKWt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8" t="s">
        <v>220</v>
      </c>
      <c r="C3" s="108"/>
      <c r="D3" s="108"/>
      <c r="E3" s="108"/>
      <c r="F3" s="108"/>
      <c r="G3" s="1"/>
    </row>
    <row r="4" spans="1:7" ht="15" customHeight="1" x14ac:dyDescent="0.45">
      <c r="A4" s="1"/>
      <c r="B4" s="108"/>
      <c r="C4" s="108"/>
      <c r="D4" s="108"/>
      <c r="E4" s="108"/>
      <c r="F4" s="108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5" t="s">
        <v>231</v>
      </c>
      <c r="C8" s="116"/>
      <c r="D8" s="116"/>
      <c r="E8" s="116"/>
      <c r="F8" s="117"/>
      <c r="G8" s="1"/>
    </row>
    <row r="9" spans="1:7" x14ac:dyDescent="0.45">
      <c r="A9" s="1"/>
      <c r="B9" s="112" t="s">
        <v>232</v>
      </c>
      <c r="C9" s="113"/>
      <c r="D9" s="114"/>
      <c r="E9" s="67">
        <v>409935.29879999906</v>
      </c>
      <c r="F9" s="14" t="s">
        <v>3</v>
      </c>
      <c r="G9" s="1"/>
    </row>
    <row r="10" spans="1:7" x14ac:dyDescent="0.45">
      <c r="A10" s="1"/>
      <c r="B10" s="112" t="s">
        <v>233</v>
      </c>
      <c r="C10" s="113"/>
      <c r="D10" s="114"/>
      <c r="E10" s="67">
        <v>-766364.45939024352</v>
      </c>
      <c r="F10" s="14" t="s">
        <v>3</v>
      </c>
      <c r="G10" s="1"/>
    </row>
    <row r="11" spans="1:7" x14ac:dyDescent="0.45">
      <c r="A11" s="1"/>
      <c r="B11" s="112" t="s">
        <v>234</v>
      </c>
      <c r="C11" s="113"/>
      <c r="D11" s="114"/>
      <c r="E11" s="9">
        <v>374235.95663552172</v>
      </c>
      <c r="F11" s="14" t="s">
        <v>3</v>
      </c>
      <c r="G11" s="1"/>
    </row>
    <row r="12" spans="1:7" x14ac:dyDescent="0.45">
      <c r="A12" s="1"/>
      <c r="B12" s="112" t="s">
        <v>235</v>
      </c>
      <c r="C12" s="113"/>
      <c r="D12" s="114"/>
      <c r="E12" s="9">
        <f>IF(OR(AND(E10&gt;0,E11&lt;0),AND(E11&lt;0,E34&gt;0)),E17+E18,E11)</f>
        <v>374235.95663552172</v>
      </c>
      <c r="F12" s="14" t="s">
        <v>3</v>
      </c>
      <c r="G12" s="1"/>
    </row>
    <row r="13" spans="1:7" x14ac:dyDescent="0.45">
      <c r="A13" s="1"/>
      <c r="B13" s="48"/>
      <c r="C13" s="49"/>
      <c r="D13" s="49"/>
      <c r="E13" s="49"/>
      <c r="F13" s="20"/>
      <c r="G13" s="1"/>
    </row>
    <row r="14" spans="1:7" ht="54.75" customHeight="1" x14ac:dyDescent="0.45">
      <c r="A14" s="1"/>
      <c r="B14" s="91" t="s">
        <v>236</v>
      </c>
      <c r="C14" s="92"/>
      <c r="D14" s="92"/>
      <c r="E14" s="92"/>
      <c r="F14" s="93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5" t="s">
        <v>237</v>
      </c>
      <c r="C16" s="116"/>
      <c r="D16" s="116"/>
      <c r="E16" s="116"/>
      <c r="F16" s="117"/>
      <c r="G16" s="1"/>
    </row>
    <row r="17" spans="1:7" x14ac:dyDescent="0.45">
      <c r="A17" s="1"/>
      <c r="B17" s="112" t="s">
        <v>238</v>
      </c>
      <c r="C17" s="113"/>
      <c r="D17" s="114"/>
      <c r="E17" s="9">
        <v>0</v>
      </c>
      <c r="F17" s="14" t="s">
        <v>3</v>
      </c>
      <c r="G17" s="1"/>
    </row>
    <row r="18" spans="1:7" x14ac:dyDescent="0.45">
      <c r="A18" s="1"/>
      <c r="B18" s="112" t="s">
        <v>239</v>
      </c>
      <c r="C18" s="113"/>
      <c r="D18" s="114"/>
      <c r="E18" s="9">
        <v>0</v>
      </c>
      <c r="F18" s="14" t="s">
        <v>3</v>
      </c>
      <c r="G18" s="1"/>
    </row>
    <row r="19" spans="1:7" x14ac:dyDescent="0.45">
      <c r="A19" s="1"/>
      <c r="B19" s="48"/>
      <c r="C19" s="49"/>
      <c r="D19" s="49"/>
      <c r="E19" s="49"/>
      <c r="F19" s="20"/>
      <c r="G19" s="1"/>
    </row>
    <row r="20" spans="1:7" ht="30" customHeight="1" x14ac:dyDescent="0.45">
      <c r="A20" s="1"/>
      <c r="B20" s="91" t="s">
        <v>240</v>
      </c>
      <c r="C20" s="92"/>
      <c r="D20" s="92"/>
      <c r="E20" s="92"/>
      <c r="F20" s="93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7" t="s">
        <v>206</v>
      </c>
      <c r="C22" s="58"/>
      <c r="D22" s="58"/>
      <c r="E22" s="58"/>
      <c r="F22" s="59"/>
      <c r="G22" s="1"/>
    </row>
    <row r="23" spans="1:7" x14ac:dyDescent="0.45">
      <c r="A23" s="1"/>
      <c r="B23" s="54" t="s">
        <v>207</v>
      </c>
      <c r="C23" s="55"/>
      <c r="D23" s="56"/>
      <c r="E23" s="9">
        <v>12321587.950144494</v>
      </c>
      <c r="F23" s="14" t="s">
        <v>3</v>
      </c>
      <c r="G23" s="1"/>
    </row>
    <row r="24" spans="1:7" x14ac:dyDescent="0.45">
      <c r="A24" s="1"/>
      <c r="B24" s="54" t="s">
        <v>208</v>
      </c>
      <c r="C24" s="55"/>
      <c r="D24" s="56"/>
      <c r="E24" s="9">
        <v>11025433</v>
      </c>
      <c r="F24" s="14" t="s">
        <v>3</v>
      </c>
      <c r="G24" s="1"/>
    </row>
    <row r="25" spans="1:7" x14ac:dyDescent="0.45">
      <c r="A25" s="1"/>
      <c r="B25" s="54" t="s">
        <v>34</v>
      </c>
      <c r="C25" s="55"/>
      <c r="D25" s="56"/>
      <c r="E25" s="9">
        <v>0</v>
      </c>
      <c r="F25" s="14" t="s">
        <v>3</v>
      </c>
      <c r="G25" s="1"/>
    </row>
    <row r="26" spans="1:7" x14ac:dyDescent="0.45">
      <c r="A26" s="1"/>
      <c r="B26" s="61" t="s">
        <v>249</v>
      </c>
      <c r="C26" s="62"/>
      <c r="D26" s="63"/>
      <c r="E26" s="43">
        <f>E23-(E24-E25)</f>
        <v>1296154.950144494</v>
      </c>
      <c r="F26" s="17" t="s">
        <v>3</v>
      </c>
      <c r="G26" s="1"/>
    </row>
    <row r="27" spans="1:7" x14ac:dyDescent="0.45">
      <c r="A27" s="1"/>
      <c r="B27" s="48"/>
      <c r="C27" s="49"/>
      <c r="D27" s="49"/>
      <c r="E27" s="49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5" t="s">
        <v>241</v>
      </c>
      <c r="C29" s="116"/>
      <c r="D29" s="116"/>
      <c r="E29" s="116"/>
      <c r="F29" s="117"/>
      <c r="G29" s="1"/>
    </row>
    <row r="30" spans="1:7" x14ac:dyDescent="0.45">
      <c r="A30" s="1"/>
      <c r="B30" s="136" t="s">
        <v>242</v>
      </c>
      <c r="C30" s="137"/>
      <c r="D30" s="138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45">
      <c r="A31" s="1"/>
      <c r="B31" s="115"/>
      <c r="C31" s="116"/>
      <c r="D31" s="116"/>
      <c r="E31" s="116"/>
      <c r="F31" s="117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15" t="s">
        <v>243</v>
      </c>
      <c r="C33" s="116"/>
      <c r="D33" s="116"/>
      <c r="E33" s="116"/>
      <c r="F33" s="117"/>
      <c r="G33" s="1"/>
    </row>
    <row r="34" spans="1:7" x14ac:dyDescent="0.45">
      <c r="A34" s="1"/>
      <c r="B34" s="130" t="s">
        <v>250</v>
      </c>
      <c r="C34" s="131"/>
      <c r="D34" s="132"/>
      <c r="E34" s="9">
        <v>0</v>
      </c>
      <c r="F34" s="14"/>
      <c r="G34" s="1"/>
    </row>
    <row r="35" spans="1:7" x14ac:dyDescent="0.4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4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45">
      <c r="A37" s="1"/>
      <c r="B37" s="139" t="s">
        <v>160</v>
      </c>
      <c r="C37" s="139"/>
      <c r="D37" s="139"/>
      <c r="E37" s="10">
        <f>E35/E36</f>
        <v>0</v>
      </c>
      <c r="F37" s="17" t="s">
        <v>3</v>
      </c>
      <c r="G37" s="1"/>
    </row>
    <row r="38" spans="1:7" x14ac:dyDescent="0.45">
      <c r="A38" s="1"/>
      <c r="B38" s="133"/>
      <c r="C38" s="134"/>
      <c r="D38" s="134"/>
      <c r="E38" s="134"/>
      <c r="F38" s="135"/>
      <c r="G38" s="1"/>
    </row>
    <row r="39" spans="1:7" ht="75" customHeight="1" x14ac:dyDescent="0.45">
      <c r="A39" s="1"/>
      <c r="B39" s="91" t="s">
        <v>248</v>
      </c>
      <c r="C39" s="92"/>
      <c r="D39" s="92"/>
      <c r="E39" s="92"/>
      <c r="F39" s="93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e5MtgjWSG1LDhDjUebO+LeBFKluAzJ4H74DZodjhB8LT7jJLLVxxeIR/WYuarkx1Qy1LiM2KTxTOM0HmsPM+LA==" saltValue="WbBNGhK+zl6dJ/WPtea/Wg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1"/>
      <c r="I9" s="1"/>
    </row>
    <row r="10" spans="1:9" x14ac:dyDescent="0.45">
      <c r="A10" s="1"/>
      <c r="B10" s="68" t="s">
        <v>251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a+BFLUXpJ1xAzVI7ATU/JO+RZ6Zzl7u3xj/5i2Fi0+cp1DWQOByRGraoSKoVQnu9E3Wd2dWA3ANb8DKrMb+Vw==" saltValue="1eFxOFpH/yJedymDX5NNp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84</v>
      </c>
      <c r="C8" s="49"/>
      <c r="D8" s="49"/>
      <c r="E8" s="49"/>
      <c r="F8" s="20"/>
      <c r="G8" s="1"/>
    </row>
    <row r="9" spans="1:7" ht="17.25" customHeight="1" x14ac:dyDescent="0.45">
      <c r="A9" s="1"/>
      <c r="B9" s="46" t="s">
        <v>16</v>
      </c>
      <c r="C9" s="46" t="s">
        <v>11</v>
      </c>
      <c r="D9" s="47"/>
      <c r="E9" s="46" t="s">
        <v>32</v>
      </c>
      <c r="F9" s="51"/>
      <c r="G9" s="1"/>
    </row>
    <row r="10" spans="1:7" x14ac:dyDescent="0.4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8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8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1mtONLogo29ngfdo12PM8BWPTH9myCuluNEUPgHs1RbAMo81Kre+anweZXbx8CWS5XsC+PeH/vXqNXDq4lHFOg==" saltValue="TUv84NTsxCs8rUld6lF8z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5" t="s">
        <v>102</v>
      </c>
      <c r="C8" s="116"/>
      <c r="D8" s="116"/>
      <c r="E8" s="116"/>
      <c r="F8" s="117"/>
      <c r="G8" s="1"/>
    </row>
    <row r="9" spans="1:7" x14ac:dyDescent="0.45">
      <c r="A9" s="1"/>
      <c r="B9" s="46" t="s">
        <v>16</v>
      </c>
      <c r="C9" s="46" t="s">
        <v>11</v>
      </c>
      <c r="D9" s="47"/>
      <c r="E9" s="46" t="s">
        <v>32</v>
      </c>
      <c r="F9" s="51"/>
      <c r="G9" s="1"/>
    </row>
    <row r="10" spans="1:7" x14ac:dyDescent="0.45">
      <c r="A10" s="1"/>
      <c r="B10" s="25" t="s">
        <v>252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45">
      <c r="A14" s="1"/>
      <c r="B14" s="48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45">
      <c r="A17" s="1"/>
      <c r="B17" s="46" t="s">
        <v>16</v>
      </c>
      <c r="C17" s="46" t="s">
        <v>11</v>
      </c>
      <c r="D17" s="47"/>
      <c r="E17" s="46" t="s">
        <v>32</v>
      </c>
      <c r="F17" s="51"/>
      <c r="G17" s="1"/>
    </row>
    <row r="18" spans="1:7" x14ac:dyDescent="0.45">
      <c r="A18" s="1"/>
      <c r="B18" s="25" t="s">
        <v>252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8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45">
      <c r="A22" s="1"/>
      <c r="B22" s="48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45">
      <c r="A25" s="1"/>
      <c r="B25" s="46" t="s">
        <v>16</v>
      </c>
      <c r="C25" s="46" t="s">
        <v>11</v>
      </c>
      <c r="D25" s="47"/>
      <c r="E25" s="46" t="s">
        <v>32</v>
      </c>
      <c r="F25" s="51"/>
      <c r="G25" s="1"/>
    </row>
    <row r="26" spans="1:7" x14ac:dyDescent="0.45">
      <c r="A26" s="1"/>
      <c r="B26" s="25" t="s">
        <v>252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8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45">
      <c r="A30" s="1"/>
      <c r="B30" s="48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15" t="s">
        <v>211</v>
      </c>
      <c r="C32" s="116"/>
      <c r="D32" s="116"/>
      <c r="E32" s="116"/>
      <c r="F32" s="117"/>
      <c r="G32" s="1"/>
    </row>
    <row r="33" spans="1:7" x14ac:dyDescent="0.45">
      <c r="A33" s="1"/>
      <c r="B33" s="46" t="s">
        <v>16</v>
      </c>
      <c r="C33" s="46" t="s">
        <v>11</v>
      </c>
      <c r="D33" s="47"/>
      <c r="E33" s="46" t="s">
        <v>32</v>
      </c>
      <c r="F33" s="51"/>
      <c r="G33" s="1"/>
    </row>
    <row r="34" spans="1:7" x14ac:dyDescent="0.45">
      <c r="A34" s="1"/>
      <c r="B34" s="25" t="s">
        <v>252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8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45">
      <c r="A38" s="1"/>
      <c r="B38" s="48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ivg2iwouDxh0oJPCX2Q3poVJn53MUua2pvlDM9phuSCvdKwTfamR9w1iVjMEv2I4MMQswqHyOZgJNY5HEvbv/Q==" saltValue="YMGRTpkKSmDY/trkTE/D5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45">
      <c r="A4" s="1"/>
      <c r="B4" s="108"/>
      <c r="C4" s="108"/>
      <c r="D4" s="108"/>
      <c r="E4" s="108"/>
      <c r="F4" s="10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45">
      <c r="A9" s="1"/>
      <c r="B9" s="50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4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T65O3bImyfTy7HK/KBQSLKJHxl20s6YTzfjeTzzG/as8FaoTVMj0wHEP7l7UjTUnktiKClQS0wZMaU+tJLDjtw==" saltValue="MHDDoQwFg1Xqa3I1PEOh7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45">
      <c r="A4" s="1"/>
      <c r="B4" s="108"/>
      <c r="C4" s="108"/>
      <c r="D4" s="108"/>
      <c r="E4" s="108"/>
      <c r="F4" s="10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45">
      <c r="A9" s="1"/>
      <c r="B9" s="50" t="s">
        <v>17</v>
      </c>
      <c r="C9" s="50" t="s">
        <v>11</v>
      </c>
      <c r="D9" s="51"/>
      <c r="E9" s="50" t="s">
        <v>32</v>
      </c>
      <c r="F9" s="51"/>
      <c r="G9" s="1"/>
    </row>
    <row r="10" spans="1:7" x14ac:dyDescent="0.4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8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15" t="s">
        <v>99</v>
      </c>
      <c r="C15" s="116"/>
      <c r="D15" s="116"/>
      <c r="E15" s="116"/>
      <c r="F15" s="117"/>
      <c r="G15" s="1"/>
    </row>
    <row r="16" spans="1:7" x14ac:dyDescent="0.45">
      <c r="A16" s="1"/>
      <c r="B16" s="50" t="s">
        <v>17</v>
      </c>
      <c r="C16" s="50" t="s">
        <v>11</v>
      </c>
      <c r="D16" s="51"/>
      <c r="E16" s="50" t="s">
        <v>32</v>
      </c>
      <c r="F16" s="51"/>
      <c r="G16" s="1"/>
    </row>
    <row r="17" spans="1:7" x14ac:dyDescent="0.45">
      <c r="A17" s="1"/>
      <c r="B17" s="25" t="s">
        <v>230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8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8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15" t="s">
        <v>142</v>
      </c>
      <c r="C22" s="116"/>
      <c r="D22" s="116"/>
      <c r="E22" s="116"/>
      <c r="F22" s="117"/>
      <c r="G22" s="1"/>
    </row>
    <row r="23" spans="1:7" x14ac:dyDescent="0.45">
      <c r="A23" s="1"/>
      <c r="B23" s="50" t="s">
        <v>17</v>
      </c>
      <c r="C23" s="50" t="s">
        <v>11</v>
      </c>
      <c r="D23" s="51"/>
      <c r="E23" s="50" t="s">
        <v>32</v>
      </c>
      <c r="F23" s="51"/>
      <c r="G23" s="1"/>
    </row>
    <row r="24" spans="1:7" x14ac:dyDescent="0.45">
      <c r="A24" s="1"/>
      <c r="B24" s="25" t="s">
        <v>230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8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8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5" t="s">
        <v>214</v>
      </c>
      <c r="C29" s="116"/>
      <c r="D29" s="116"/>
      <c r="E29" s="116"/>
      <c r="F29" s="117"/>
      <c r="G29" s="1"/>
    </row>
    <row r="30" spans="1:7" x14ac:dyDescent="0.45">
      <c r="A30" s="1"/>
      <c r="B30" s="50" t="s">
        <v>17</v>
      </c>
      <c r="C30" s="50" t="s">
        <v>11</v>
      </c>
      <c r="D30" s="51"/>
      <c r="E30" s="50" t="s">
        <v>32</v>
      </c>
      <c r="F30" s="51"/>
      <c r="G30" s="1"/>
    </row>
    <row r="31" spans="1:7" x14ac:dyDescent="0.45">
      <c r="A31" s="1"/>
      <c r="B31" s="25" t="s">
        <v>230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8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8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UGz+gqS8fPkUZGj6T9tGZawT41pQO3+Puc4dNcB6ksCE/eJOKSD8GWPfL7y4566VZQStGyYD8qJk82g43ioOsQ==" saltValue="moXhmKB1ghShBfDjO5Lpg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8" t="s">
        <v>164</v>
      </c>
      <c r="C3" s="108"/>
      <c r="D3" s="1"/>
    </row>
    <row r="4" spans="1:4" ht="25.5" customHeight="1" x14ac:dyDescent="0.45">
      <c r="A4" s="1"/>
      <c r="B4" s="108"/>
      <c r="C4" s="108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8" t="s">
        <v>14</v>
      </c>
      <c r="C8" s="20"/>
      <c r="D8" s="1"/>
    </row>
    <row r="9" spans="1:4" x14ac:dyDescent="0.45">
      <c r="A9" s="1"/>
      <c r="B9" s="60" t="s">
        <v>118</v>
      </c>
      <c r="C9" s="26">
        <v>1.2699999999999999E-2</v>
      </c>
      <c r="D9" s="1"/>
    </row>
    <row r="10" spans="1:4" x14ac:dyDescent="0.45">
      <c r="A10" s="1"/>
      <c r="B10" s="60" t="s">
        <v>22</v>
      </c>
      <c r="C10" s="26">
        <v>1.7500000000000002E-2</v>
      </c>
      <c r="D10" s="1"/>
    </row>
    <row r="11" spans="1:4" x14ac:dyDescent="0.45">
      <c r="A11" s="1"/>
      <c r="B11" s="60" t="s">
        <v>119</v>
      </c>
      <c r="C11" s="26">
        <v>1.6899999999999998E-2</v>
      </c>
      <c r="D11" s="1"/>
    </row>
    <row r="12" spans="1:4" x14ac:dyDescent="0.45">
      <c r="A12" s="1"/>
      <c r="B12" s="33" t="s">
        <v>42</v>
      </c>
      <c r="C12" s="34">
        <v>1.9699999999999999E-2</v>
      </c>
      <c r="D12" s="1"/>
    </row>
    <row r="13" spans="1:4" x14ac:dyDescent="0.45">
      <c r="A13" s="1"/>
      <c r="B13" s="33" t="s">
        <v>140</v>
      </c>
      <c r="C13" s="34">
        <v>1.2200000000000001E-2</v>
      </c>
      <c r="D13" s="1"/>
    </row>
    <row r="14" spans="1:4" x14ac:dyDescent="0.45">
      <c r="A14" s="1"/>
      <c r="B14" s="33" t="s">
        <v>216</v>
      </c>
      <c r="C14" s="70">
        <v>3.3E-3</v>
      </c>
      <c r="D14" s="1"/>
    </row>
    <row r="15" spans="1:4" x14ac:dyDescent="0.45">
      <c r="A15" s="1"/>
      <c r="B15" s="115"/>
      <c r="C15" s="11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48" t="s">
        <v>106</v>
      </c>
      <c r="C18" s="20"/>
      <c r="D18" s="1"/>
    </row>
    <row r="19" spans="1:4" x14ac:dyDescent="0.45">
      <c r="A19" s="1"/>
      <c r="B19" s="60" t="s">
        <v>120</v>
      </c>
      <c r="C19" s="23">
        <v>9.1000000000000004E-3</v>
      </c>
      <c r="D19" s="1"/>
    </row>
    <row r="20" spans="1:4" x14ac:dyDescent="0.45">
      <c r="A20" s="1"/>
      <c r="B20" s="60" t="s">
        <v>121</v>
      </c>
      <c r="C20" s="23">
        <v>1.77E-2</v>
      </c>
      <c r="D20" s="1"/>
    </row>
    <row r="21" spans="1:4" x14ac:dyDescent="0.45">
      <c r="A21" s="1"/>
      <c r="B21" s="60" t="s">
        <v>122</v>
      </c>
      <c r="C21" s="23">
        <v>8.6999999999999994E-3</v>
      </c>
      <c r="D21" s="1"/>
    </row>
    <row r="22" spans="1:4" x14ac:dyDescent="0.45">
      <c r="A22" s="1"/>
      <c r="B22" s="60" t="s">
        <v>123</v>
      </c>
      <c r="C22" s="35">
        <v>2.8400000000000002E-2</v>
      </c>
      <c r="D22" s="1"/>
    </row>
    <row r="23" spans="1:4" x14ac:dyDescent="0.45">
      <c r="A23" s="1"/>
      <c r="B23" s="60" t="s">
        <v>146</v>
      </c>
      <c r="C23" s="35">
        <v>2.75E-2</v>
      </c>
      <c r="D23" s="1"/>
    </row>
    <row r="24" spans="1:4" x14ac:dyDescent="0.45">
      <c r="A24" s="1"/>
      <c r="B24" s="60" t="s">
        <v>217</v>
      </c>
      <c r="C24" s="35">
        <v>1.4800000000000001E-2</v>
      </c>
      <c r="D24" s="1"/>
    </row>
    <row r="25" spans="1:4" x14ac:dyDescent="0.45">
      <c r="A25" s="1"/>
      <c r="B25" s="4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48" t="s">
        <v>107</v>
      </c>
      <c r="C28" s="20"/>
      <c r="D28" s="1"/>
    </row>
    <row r="29" spans="1:4" x14ac:dyDescent="0.45">
      <c r="A29" s="1"/>
      <c r="B29" s="60" t="s">
        <v>124</v>
      </c>
      <c r="C29" s="26">
        <v>0.02</v>
      </c>
      <c r="D29" s="1"/>
    </row>
    <row r="30" spans="1:4" x14ac:dyDescent="0.45">
      <c r="A30" s="1"/>
      <c r="B30" s="4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48" t="s">
        <v>107</v>
      </c>
      <c r="C32" s="20"/>
      <c r="D32" s="1"/>
    </row>
    <row r="33" spans="1:4" x14ac:dyDescent="0.45">
      <c r="A33" s="1"/>
      <c r="B33" s="60" t="s">
        <v>244</v>
      </c>
      <c r="C33" s="26">
        <v>1.7000000000000001E-2</v>
      </c>
      <c r="D33" s="1"/>
    </row>
    <row r="34" spans="1:4" x14ac:dyDescent="0.45">
      <c r="A34" s="1"/>
      <c r="B34" s="48"/>
      <c r="C34" s="20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d61GK8b6I86bM4rPRo/lb4ewYhng3dVzVAgEyGzFLqXG13zKCygL74nZU2LrjrL2dzP/r6LLUN+9wmrjorz8wg==" saltValue="Q5B4giwLhIqJJxqVczSLC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183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x14ac:dyDescent="0.45">
      <c r="A9" s="1"/>
      <c r="B9" s="53" t="s">
        <v>24</v>
      </c>
      <c r="C9" s="7">
        <f>'Fane 3. Omkostninger i ØR2021'!E20</f>
        <v>5894181.6058945134</v>
      </c>
      <c r="D9" s="8" t="s">
        <v>3</v>
      </c>
      <c r="E9" s="1"/>
    </row>
    <row r="10" spans="1:5" x14ac:dyDescent="0.45">
      <c r="A10" s="1"/>
      <c r="B10" s="44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45">
      <c r="A11" s="1"/>
      <c r="B11" s="44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4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4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4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4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4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4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45">
      <c r="A18" s="1"/>
      <c r="B18" s="30" t="s">
        <v>18</v>
      </c>
      <c r="C18" s="9">
        <f>C9*'Fane 12. Nøgletal'!C13+SUM(C12:C17)*'Fane 12. Nøgletal'!C14</f>
        <v>71909.015591913063</v>
      </c>
      <c r="D18" s="8" t="s">
        <v>3</v>
      </c>
      <c r="E18" s="1"/>
    </row>
    <row r="19" spans="1:5" ht="17.100000000000001" customHeight="1" x14ac:dyDescent="0.4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45">
      <c r="A20" s="1"/>
      <c r="B20" s="30" t="s">
        <v>25</v>
      </c>
      <c r="C20" s="9">
        <f>-'Fane 4.1. Gen. krav - drift'!G38</f>
        <v>-59029.514718467239</v>
      </c>
      <c r="D20" s="8" t="s">
        <v>3</v>
      </c>
      <c r="E20" s="1"/>
    </row>
    <row r="21" spans="1:5" ht="17.100000000000001" customHeight="1" x14ac:dyDescent="0.45">
      <c r="A21" s="1"/>
      <c r="B21" s="30" t="s">
        <v>26</v>
      </c>
      <c r="C21" s="9">
        <f>-'Fane 4.2. Gen. krav - anlæg'!G38</f>
        <v>-82901.895784726337</v>
      </c>
      <c r="D21" s="8" t="s">
        <v>3</v>
      </c>
      <c r="E21" s="1"/>
    </row>
    <row r="22" spans="1:5" ht="17.100000000000001" customHeight="1" x14ac:dyDescent="0.45">
      <c r="A22" s="1"/>
      <c r="B22" s="61" t="s">
        <v>20</v>
      </c>
      <c r="C22" s="10">
        <f>SUM(C9,C12:C21)</f>
        <v>5824159.2109832326</v>
      </c>
      <c r="D22" s="11" t="s">
        <v>3</v>
      </c>
      <c r="E22" s="1"/>
    </row>
    <row r="23" spans="1:5" ht="15" customHeight="1" x14ac:dyDescent="0.45">
      <c r="A23" s="1"/>
      <c r="B23" s="48" t="s">
        <v>12</v>
      </c>
      <c r="C23" s="49"/>
      <c r="D23" s="20"/>
      <c r="E23" s="1"/>
    </row>
    <row r="24" spans="1:5" ht="15" customHeight="1" x14ac:dyDescent="0.45">
      <c r="A24" s="1"/>
      <c r="B24" s="50" t="s">
        <v>12</v>
      </c>
      <c r="C24" s="10">
        <f>'Fane 6. Ikke-påvirkelige omk.'!C15</f>
        <v>5766925.1259653913</v>
      </c>
      <c r="D24" s="11" t="s">
        <v>3</v>
      </c>
      <c r="E24" s="1"/>
    </row>
    <row r="25" spans="1:5" ht="15" customHeight="1" x14ac:dyDescent="0.45">
      <c r="A25" s="1"/>
      <c r="B25" s="48" t="s">
        <v>89</v>
      </c>
      <c r="C25" s="49"/>
      <c r="D25" s="20"/>
      <c r="E25" s="1"/>
    </row>
    <row r="26" spans="1:5" ht="15" customHeight="1" x14ac:dyDescent="0.4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4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45">
      <c r="A28" s="1"/>
      <c r="B28" s="61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45">
      <c r="A29" s="1"/>
      <c r="B29" s="36" t="s">
        <v>161</v>
      </c>
      <c r="C29" s="49"/>
      <c r="D29" s="20"/>
      <c r="E29" s="1"/>
    </row>
    <row r="30" spans="1:5" x14ac:dyDescent="0.45">
      <c r="A30" s="1"/>
      <c r="B30" s="64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45">
      <c r="A31" s="1"/>
      <c r="B31" s="36" t="s">
        <v>224</v>
      </c>
      <c r="C31" s="49"/>
      <c r="D31" s="20"/>
      <c r="E31" s="1"/>
    </row>
    <row r="32" spans="1:5" x14ac:dyDescent="0.45">
      <c r="A32" s="1"/>
      <c r="B32" s="64" t="s">
        <v>225</v>
      </c>
      <c r="C32" s="10">
        <v>0</v>
      </c>
      <c r="D32" s="11" t="s">
        <v>3</v>
      </c>
      <c r="E32" s="1"/>
    </row>
    <row r="33" spans="1:5" x14ac:dyDescent="0.45">
      <c r="A33" s="1"/>
      <c r="B33" s="48" t="s">
        <v>30</v>
      </c>
      <c r="C33" s="31">
        <f>SUM(C22,C24,C28,C30,C32)</f>
        <v>11591084.336948624</v>
      </c>
      <c r="D33" s="20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MzZopnxttjD9bGBRxFvlUVqhkPAh94ATKT4S6B0C9MBEwZJZCizERUh959xQSSM3zcPlpsiDOltq20J8nrIysA==" saltValue="N+/zrS8q2bgNUr7v62qnT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184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21</v>
      </c>
      <c r="C5" s="90"/>
      <c r="D5" s="9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3" t="s">
        <v>134</v>
      </c>
      <c r="C8" s="7">
        <f>'Fane 2.1. Økonomisk ramme 2022'!C22</f>
        <v>5824159.2109832326</v>
      </c>
      <c r="D8" s="8" t="s">
        <v>3</v>
      </c>
      <c r="E8" s="1"/>
    </row>
    <row r="9" spans="1:5" ht="15" customHeight="1" x14ac:dyDescent="0.4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4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45">
      <c r="A11" s="1"/>
      <c r="B11" s="44" t="s">
        <v>18</v>
      </c>
      <c r="C11" s="9">
        <f>SUM(C8:C10)*'Fane 12. Nøgletal'!C14</f>
        <v>19219.725396244667</v>
      </c>
      <c r="D11" s="8" t="s">
        <v>3</v>
      </c>
      <c r="E11" s="1"/>
    </row>
    <row r="12" spans="1:5" ht="15" customHeight="1" x14ac:dyDescent="0.45">
      <c r="A12" s="1"/>
      <c r="B12" s="44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4" t="s">
        <v>25</v>
      </c>
      <c r="C13" s="9">
        <f>-'Fane 4.1. Gen. krav - drift'!G44</f>
        <v>-58039.825874697417</v>
      </c>
      <c r="D13" s="8" t="s">
        <v>3</v>
      </c>
      <c r="E13" s="1"/>
    </row>
    <row r="14" spans="1:5" ht="15" customHeight="1" x14ac:dyDescent="0.45">
      <c r="A14" s="1"/>
      <c r="B14" s="44" t="s">
        <v>26</v>
      </c>
      <c r="C14" s="9">
        <f>-'Fane 4.2. Gen. krav - anlæg'!G44</f>
        <v>-43532.529784853228</v>
      </c>
      <c r="D14" s="8" t="s">
        <v>3</v>
      </c>
      <c r="E14" s="1"/>
    </row>
    <row r="15" spans="1:5" ht="15" customHeight="1" x14ac:dyDescent="0.45">
      <c r="A15" s="1"/>
      <c r="B15" s="45" t="s">
        <v>20</v>
      </c>
      <c r="C15" s="10">
        <f>SUM(C8:C14)</f>
        <v>5741806.5807199264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50" t="s">
        <v>12</v>
      </c>
      <c r="C17" s="10">
        <f>'Fane 6. Ikke-påvirkelige omk.'!C15*(1+'Fane 12. Nøgletal'!C14)</f>
        <v>5785955.9788810778</v>
      </c>
      <c r="D17" s="11" t="s">
        <v>3</v>
      </c>
      <c r="E17" s="1"/>
    </row>
    <row r="18" spans="1:5" ht="15" customHeight="1" x14ac:dyDescent="0.45">
      <c r="A18" s="1"/>
      <c r="B18" s="48" t="s">
        <v>89</v>
      </c>
      <c r="C18" s="49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45">
      <c r="A21" s="1"/>
      <c r="B21" s="61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6" t="s">
        <v>161</v>
      </c>
      <c r="C22" s="49"/>
      <c r="D22" s="20"/>
      <c r="E22" s="1"/>
    </row>
    <row r="23" spans="1:5" ht="15" customHeight="1" x14ac:dyDescent="0.45">
      <c r="A23" s="1"/>
      <c r="B23" s="64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49"/>
      <c r="D24" s="20"/>
      <c r="E24" s="1"/>
    </row>
    <row r="25" spans="1:5" x14ac:dyDescent="0.45">
      <c r="A25" s="1"/>
      <c r="B25" s="64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48" t="s">
        <v>97</v>
      </c>
      <c r="C26" s="12">
        <f>SUM(C15,C17,C21,C23,C25)</f>
        <v>11527762.559601005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vzy6Aeh2urxMX80LFb/qyKu8NT4AVeWqZcrRQVWC40gKq48Lfq7LuKo0JmuDWDxkLivZzlKzzUD6FPqF5xk7eA==" saltValue="hjCMczTQoVYZ4EUJXs3tN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185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21</v>
      </c>
      <c r="C5" s="90"/>
      <c r="D5" s="9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3" t="s">
        <v>135</v>
      </c>
      <c r="C8" s="7">
        <f>'Fane 2.2. Økonomisk ramme 2023'!C15</f>
        <v>5741806.5807199264</v>
      </c>
      <c r="D8" s="8" t="s">
        <v>3</v>
      </c>
      <c r="E8" s="1"/>
    </row>
    <row r="9" spans="1:5" ht="15" customHeight="1" x14ac:dyDescent="0.45">
      <c r="A9" s="1"/>
      <c r="B9" s="53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3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4" t="s">
        <v>18</v>
      </c>
      <c r="C11" s="9">
        <f>SUM(C8:C10)*'Fane 12. Nøgletal'!C14</f>
        <v>18947.961716375758</v>
      </c>
      <c r="D11" s="8" t="s">
        <v>3</v>
      </c>
      <c r="E11" s="1"/>
    </row>
    <row r="12" spans="1:5" ht="15" customHeight="1" x14ac:dyDescent="0.45">
      <c r="A12" s="1"/>
      <c r="B12" s="44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4" t="s">
        <v>25</v>
      </c>
      <c r="C13" s="9">
        <f>-'Fane 4.1. Gen. krav - drift'!G50</f>
        <v>-57066.730154082245</v>
      </c>
      <c r="D13" s="8" t="s">
        <v>3</v>
      </c>
      <c r="E13" s="1"/>
    </row>
    <row r="14" spans="1:5" ht="15" customHeight="1" x14ac:dyDescent="0.45">
      <c r="A14" s="1"/>
      <c r="B14" s="44" t="s">
        <v>26</v>
      </c>
      <c r="C14" s="42">
        <f>-'Fane 4.2. Gen. krav - anlæg'!G54</f>
        <v>-43029.779563572731</v>
      </c>
      <c r="D14" s="8" t="s">
        <v>3</v>
      </c>
      <c r="E14" s="1"/>
    </row>
    <row r="15" spans="1:5" x14ac:dyDescent="0.45">
      <c r="A15" s="1"/>
      <c r="B15" s="45" t="s">
        <v>20</v>
      </c>
      <c r="C15" s="10">
        <f>SUM(C8:C14)</f>
        <v>5660658.0327186463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50" t="s">
        <v>12</v>
      </c>
      <c r="C17" s="10">
        <f>'Fane 6. Ikke-påvirkelige omk.'!C15*(1+'Fane 12. Nøgletal'!C14)^2</f>
        <v>5805049.6336113857</v>
      </c>
      <c r="D17" s="11" t="s">
        <v>3</v>
      </c>
      <c r="E17" s="1"/>
    </row>
    <row r="18" spans="1:5" ht="15" customHeight="1" x14ac:dyDescent="0.45">
      <c r="A18" s="1"/>
      <c r="B18" s="48" t="s">
        <v>89</v>
      </c>
      <c r="C18" s="49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61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8" t="s">
        <v>161</v>
      </c>
      <c r="C22" s="49"/>
      <c r="D22" s="20"/>
      <c r="E22" s="1"/>
    </row>
    <row r="23" spans="1:5" x14ac:dyDescent="0.45">
      <c r="A23" s="1"/>
      <c r="B23" s="50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45">
      <c r="A24" s="1"/>
      <c r="B24" s="36" t="s">
        <v>224</v>
      </c>
      <c r="C24" s="49"/>
      <c r="D24" s="20"/>
      <c r="E24" s="1"/>
    </row>
    <row r="25" spans="1:5" ht="15" customHeight="1" x14ac:dyDescent="0.45">
      <c r="A25" s="1"/>
      <c r="B25" s="64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48" t="s">
        <v>186</v>
      </c>
      <c r="C26" s="12">
        <f>SUM(C15,C17,C21,C23,C25)</f>
        <v>11465707.666330032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a3Kq6d8jGa8orAQ8CicBlmWorIMfZxy29fH9qRulQCKmJVYOF3N4LX/P65k9FDNHQ9qWKEvOBrPoA2Pv8wJvdQ==" saltValue="n8i9sKJNOfzphgbO7AbO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187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21</v>
      </c>
      <c r="C5" s="90"/>
      <c r="D5" s="9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3" t="s">
        <v>188</v>
      </c>
      <c r="C8" s="7">
        <f>'Fane 2.3. Økonomisk ramme 2024'!C15</f>
        <v>5660658.0327186463</v>
      </c>
      <c r="D8" s="8" t="s">
        <v>3</v>
      </c>
      <c r="E8" s="1"/>
    </row>
    <row r="9" spans="1:5" ht="15" customHeight="1" x14ac:dyDescent="0.45">
      <c r="A9" s="1"/>
      <c r="B9" s="53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3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4" t="s">
        <v>18</v>
      </c>
      <c r="C11" s="9">
        <f>SUM(C8:C10)*'Fane 12. Nøgletal'!C14</f>
        <v>18680.171507971532</v>
      </c>
      <c r="D11" s="8" t="s">
        <v>3</v>
      </c>
      <c r="E11" s="1"/>
    </row>
    <row r="12" spans="1:5" ht="15" customHeight="1" x14ac:dyDescent="0.45">
      <c r="A12" s="1"/>
      <c r="B12" s="44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4" t="s">
        <v>25</v>
      </c>
      <c r="C13" s="9">
        <f>-'Fane 4.1. Gen. krav - drift'!G56</f>
        <v>-56109.94935631891</v>
      </c>
      <c r="D13" s="8" t="s">
        <v>3</v>
      </c>
      <c r="E13" s="1"/>
    </row>
    <row r="14" spans="1:5" ht="15" customHeight="1" x14ac:dyDescent="0.45">
      <c r="A14" s="1"/>
      <c r="B14" s="44" t="s">
        <v>26</v>
      </c>
      <c r="C14" s="9">
        <f>-'Fane 4.2. Gen. krav - anlæg'!G60</f>
        <v>-42532.835524157766</v>
      </c>
      <c r="D14" s="8" t="s">
        <v>3</v>
      </c>
      <c r="E14" s="1"/>
    </row>
    <row r="15" spans="1:5" x14ac:dyDescent="0.45">
      <c r="A15" s="1"/>
      <c r="B15" s="45" t="s">
        <v>20</v>
      </c>
      <c r="C15" s="10">
        <f>SUM(C8:C14)</f>
        <v>5580695.4193461416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50" t="s">
        <v>12</v>
      </c>
      <c r="C17" s="10">
        <f>'Fane 6. Ikke-påvirkelige omk.'!C15*(1+'Fane 12. Nøgletal'!C14)^3</f>
        <v>5824206.2974023037</v>
      </c>
      <c r="D17" s="11" t="s">
        <v>3</v>
      </c>
      <c r="E17" s="1"/>
    </row>
    <row r="18" spans="1:5" ht="15" customHeight="1" x14ac:dyDescent="0.45">
      <c r="A18" s="1"/>
      <c r="B18" s="48" t="s">
        <v>89</v>
      </c>
      <c r="C18" s="49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61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8" t="s">
        <v>161</v>
      </c>
      <c r="C22" s="49"/>
      <c r="D22" s="20"/>
      <c r="E22" s="1"/>
    </row>
    <row r="23" spans="1:5" x14ac:dyDescent="0.45">
      <c r="A23" s="1"/>
      <c r="B23" s="50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49"/>
      <c r="D24" s="20"/>
      <c r="E24" s="1"/>
    </row>
    <row r="25" spans="1:5" x14ac:dyDescent="0.45">
      <c r="A25" s="1"/>
      <c r="B25" s="64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48" t="s">
        <v>189</v>
      </c>
      <c r="C26" s="12">
        <f>SUM(C15,C17,C21,C23,C25)</f>
        <v>11404901.716748446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G+c+ScBHAFKEjsZYjIj2TQUnP2UEP8spNv8fqUlE3JLL385DrbhcKCLDYuNeKN01/VwzfdbIdxEGJJ0U88uuLg==" saltValue="aO/5SOojoVbtIg1ZBkPTg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8" t="s">
        <v>190</v>
      </c>
      <c r="C3" s="108"/>
      <c r="D3" s="108"/>
      <c r="E3" s="108"/>
      <c r="F3" s="108"/>
      <c r="G3" s="1"/>
    </row>
    <row r="4" spans="1:7" ht="29.25" customHeight="1" x14ac:dyDescent="0.45">
      <c r="A4" s="1"/>
      <c r="B4" s="108"/>
      <c r="C4" s="108"/>
      <c r="D4" s="108"/>
      <c r="E4" s="108"/>
      <c r="F4" s="10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223</v>
      </c>
      <c r="C8" s="49"/>
      <c r="D8" s="49"/>
      <c r="E8" s="49"/>
      <c r="F8" s="20"/>
      <c r="G8" s="1"/>
    </row>
    <row r="9" spans="1:7" x14ac:dyDescent="0.45">
      <c r="A9" s="1"/>
      <c r="B9" s="109" t="s">
        <v>23</v>
      </c>
      <c r="C9" s="110"/>
      <c r="D9" s="111"/>
      <c r="E9" s="7">
        <v>5965133.866325344</v>
      </c>
      <c r="F9" s="8" t="s">
        <v>3</v>
      </c>
      <c r="G9" s="1"/>
    </row>
    <row r="10" spans="1:7" ht="15" customHeight="1" x14ac:dyDescent="0.4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45">
      <c r="A11" s="1"/>
      <c r="B11" s="94" t="s">
        <v>41</v>
      </c>
      <c r="C11" s="95"/>
      <c r="D11" s="96"/>
      <c r="E11" s="9">
        <v>0</v>
      </c>
      <c r="F11" s="8" t="s">
        <v>3</v>
      </c>
      <c r="G11" s="1"/>
    </row>
    <row r="12" spans="1:7" x14ac:dyDescent="0.4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4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4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4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45">
      <c r="A16" s="1"/>
      <c r="B16" s="94" t="s">
        <v>18</v>
      </c>
      <c r="C16" s="95"/>
      <c r="D16" s="96"/>
      <c r="E16" s="9">
        <v>72774.633169169203</v>
      </c>
      <c r="F16" s="8" t="s">
        <v>3</v>
      </c>
      <c r="G16" s="1"/>
    </row>
    <row r="17" spans="1:7" x14ac:dyDescent="0.45">
      <c r="A17" s="1"/>
      <c r="B17" s="94" t="s">
        <v>9</v>
      </c>
      <c r="C17" s="95"/>
      <c r="D17" s="96"/>
      <c r="E17" s="9">
        <v>0</v>
      </c>
      <c r="F17" s="8" t="s">
        <v>3</v>
      </c>
      <c r="G17" s="1"/>
    </row>
    <row r="18" spans="1:7" x14ac:dyDescent="0.45">
      <c r="A18" s="1"/>
      <c r="B18" s="94" t="s">
        <v>25</v>
      </c>
      <c r="C18" s="95"/>
      <c r="D18" s="96"/>
      <c r="E18" s="9">
        <v>-59508.198600000003</v>
      </c>
      <c r="F18" s="8" t="s">
        <v>3</v>
      </c>
      <c r="G18" s="1"/>
    </row>
    <row r="19" spans="1:7" x14ac:dyDescent="0.45">
      <c r="A19" s="1"/>
      <c r="B19" s="94" t="s">
        <v>26</v>
      </c>
      <c r="C19" s="95"/>
      <c r="D19" s="96"/>
      <c r="E19" s="9">
        <v>-84218.695000000007</v>
      </c>
      <c r="F19" s="8" t="s">
        <v>3</v>
      </c>
      <c r="G19" s="1"/>
    </row>
    <row r="20" spans="1:7" x14ac:dyDescent="0.45">
      <c r="A20" s="1"/>
      <c r="B20" s="97" t="s">
        <v>20</v>
      </c>
      <c r="C20" s="98"/>
      <c r="D20" s="99"/>
      <c r="E20" s="10">
        <f>SUM(E9:E19)</f>
        <v>5894181.6058945134</v>
      </c>
      <c r="F20" s="11" t="s">
        <v>3</v>
      </c>
      <c r="G20" s="1"/>
    </row>
    <row r="21" spans="1:7" ht="15" customHeight="1" x14ac:dyDescent="0.45">
      <c r="A21" s="1"/>
      <c r="B21" s="103" t="s">
        <v>12</v>
      </c>
      <c r="C21" s="104"/>
      <c r="D21" s="104"/>
      <c r="E21" s="49"/>
      <c r="F21" s="20"/>
      <c r="G21" s="1"/>
    </row>
    <row r="22" spans="1:7" x14ac:dyDescent="0.45">
      <c r="A22" s="1"/>
      <c r="B22" s="105" t="s">
        <v>12</v>
      </c>
      <c r="C22" s="106"/>
      <c r="D22" s="107"/>
      <c r="E22" s="10">
        <v>5639076.8579552397</v>
      </c>
      <c r="F22" s="11" t="s">
        <v>3</v>
      </c>
      <c r="G22" s="1"/>
    </row>
    <row r="23" spans="1:7" ht="15" customHeight="1" x14ac:dyDescent="0.45">
      <c r="A23" s="1"/>
      <c r="B23" s="103" t="s">
        <v>89</v>
      </c>
      <c r="C23" s="104"/>
      <c r="D23" s="104"/>
      <c r="E23" s="49"/>
      <c r="F23" s="49"/>
      <c r="G23" s="1"/>
    </row>
    <row r="24" spans="1:7" ht="14.25" customHeight="1" x14ac:dyDescent="0.4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4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4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45">
      <c r="A27" s="1"/>
      <c r="B27" s="48" t="s">
        <v>161</v>
      </c>
      <c r="C27" s="49"/>
      <c r="D27" s="49"/>
      <c r="E27" s="49"/>
      <c r="F27" s="20"/>
      <c r="G27" s="1"/>
    </row>
    <row r="28" spans="1:7" ht="15" customHeight="1" x14ac:dyDescent="0.45">
      <c r="A28" s="1"/>
      <c r="B28" s="100" t="s">
        <v>162</v>
      </c>
      <c r="C28" s="101"/>
      <c r="D28" s="102"/>
      <c r="E28" s="10">
        <v>0</v>
      </c>
      <c r="F28" s="11" t="s">
        <v>3</v>
      </c>
      <c r="G28" s="1"/>
    </row>
    <row r="29" spans="1:7" x14ac:dyDescent="0.45">
      <c r="A29" s="1"/>
      <c r="B29" s="103" t="s">
        <v>246</v>
      </c>
      <c r="C29" s="104"/>
      <c r="D29" s="104"/>
      <c r="E29" s="49"/>
      <c r="F29" s="20"/>
      <c r="G29" s="1"/>
    </row>
    <row r="30" spans="1:7" ht="15.6" customHeight="1" x14ac:dyDescent="0.45">
      <c r="A30" s="1"/>
      <c r="B30" s="105" t="s">
        <v>247</v>
      </c>
      <c r="C30" s="106"/>
      <c r="D30" s="107"/>
      <c r="E30" s="10">
        <v>0</v>
      </c>
      <c r="F30" s="11" t="s">
        <v>3</v>
      </c>
      <c r="G30" s="1"/>
    </row>
    <row r="31" spans="1:7" x14ac:dyDescent="0.45">
      <c r="A31" s="1"/>
      <c r="B31" s="48" t="s">
        <v>29</v>
      </c>
      <c r="C31" s="49"/>
      <c r="D31" s="49"/>
      <c r="E31" s="12">
        <f>E20+E22+E26+E28+E30</f>
        <v>11533258.463849753</v>
      </c>
      <c r="F31" s="13" t="s">
        <v>3</v>
      </c>
      <c r="G31" s="1"/>
    </row>
    <row r="32" spans="1:7" ht="27.75" customHeight="1" x14ac:dyDescent="0.45">
      <c r="A32" s="1"/>
      <c r="B32" s="91" t="s">
        <v>191</v>
      </c>
      <c r="C32" s="92"/>
      <c r="D32" s="92"/>
      <c r="E32" s="92"/>
      <c r="F32" s="93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PIQJvG91ZgX8678Tvjb8kpNFu/AYMGB1D8JWGSXEYe9A2ofoNHz/cOxLBXfCuP4DQkIzTUQFfVZLOj4skgWsBw==" saltValue="tJiq+aY5ZYO3sGA8H9tuG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7.398437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4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4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4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45">
      <c r="A5" s="1"/>
      <c r="B5" s="112" t="s">
        <v>43</v>
      </c>
      <c r="C5" s="113"/>
      <c r="D5" s="113"/>
      <c r="E5" s="113"/>
      <c r="F5" s="114"/>
      <c r="G5" s="24">
        <v>3031249</v>
      </c>
      <c r="H5" s="14" t="s">
        <v>3</v>
      </c>
      <c r="I5" s="1"/>
    </row>
    <row r="6" spans="1:9" x14ac:dyDescent="0.45">
      <c r="A6" s="1"/>
      <c r="B6" s="112" t="s">
        <v>44</v>
      </c>
      <c r="C6" s="113"/>
      <c r="D6" s="113"/>
      <c r="E6" s="113"/>
      <c r="F6" s="114"/>
      <c r="G6" s="24">
        <f>G5*'Fane 12. Nøgletal'!C33</f>
        <v>51531.233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4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3017560.1826408999</v>
      </c>
      <c r="H10" s="14" t="s">
        <v>3</v>
      </c>
      <c r="I10" s="1"/>
    </row>
    <row r="11" spans="1:9" x14ac:dyDescent="0.45">
      <c r="A11" s="1"/>
      <c r="B11" s="118" t="s">
        <v>46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45">
      <c r="A12" s="1"/>
      <c r="B12" s="112" t="s">
        <v>47</v>
      </c>
      <c r="C12" s="113"/>
      <c r="D12" s="113"/>
      <c r="E12" s="113"/>
      <c r="F12" s="114"/>
      <c r="G12" s="24">
        <f>(G10+G11)*'Fane 12. Nøgletal'!C33</f>
        <v>51298.523104895299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45">
      <c r="A16" s="1"/>
      <c r="B16" s="112" t="s">
        <v>48</v>
      </c>
      <c r="C16" s="113"/>
      <c r="D16" s="113"/>
      <c r="E16" s="113"/>
      <c r="F16" s="114"/>
      <c r="G16" s="24">
        <f>(G10+G11-G12)*(1+'Fane 12. Nøgletal'!C9)</f>
        <v>3003933.1826121118</v>
      </c>
      <c r="H16" s="14" t="s">
        <v>3</v>
      </c>
      <c r="I16" s="1"/>
    </row>
    <row r="17" spans="1:9" x14ac:dyDescent="0.45">
      <c r="A17" s="1"/>
      <c r="B17" s="112" t="s">
        <v>125</v>
      </c>
      <c r="C17" s="113"/>
      <c r="D17" s="113"/>
      <c r="E17" s="113"/>
      <c r="F17" s="114"/>
      <c r="G17" s="9">
        <v>0</v>
      </c>
      <c r="H17" s="14" t="s">
        <v>3</v>
      </c>
      <c r="I17" s="1"/>
    </row>
    <row r="18" spans="1:9" x14ac:dyDescent="0.45">
      <c r="A18" s="1"/>
      <c r="B18" s="118" t="s">
        <v>49</v>
      </c>
      <c r="C18" s="119"/>
      <c r="D18" s="119"/>
      <c r="E18" s="119"/>
      <c r="F18" s="120"/>
      <c r="G18" s="9">
        <v>0</v>
      </c>
      <c r="H18" s="14" t="s">
        <v>3</v>
      </c>
      <c r="I18" s="1"/>
    </row>
    <row r="19" spans="1:9" x14ac:dyDescent="0.45">
      <c r="A19" s="1"/>
      <c r="B19" s="112" t="s">
        <v>50</v>
      </c>
      <c r="C19" s="113"/>
      <c r="D19" s="113"/>
      <c r="E19" s="113"/>
      <c r="F19" s="114"/>
      <c r="G19" s="24">
        <f>SUM(G16:G18)*'Fane 12. Nøgletal'!C33</f>
        <v>51066.864104405904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45">
      <c r="A23" s="1"/>
      <c r="B23" s="112" t="s">
        <v>51</v>
      </c>
      <c r="C23" s="113"/>
      <c r="D23" s="113"/>
      <c r="E23" s="113"/>
      <c r="F23" s="114"/>
      <c r="G23" s="24">
        <f>(SUM(G16:G18)-G19)*(1+'Fane 12. Nøgletal'!C9)</f>
        <v>2990367.7207527533</v>
      </c>
      <c r="H23" s="14" t="s">
        <v>3</v>
      </c>
      <c r="I23" s="1"/>
    </row>
    <row r="24" spans="1:9" x14ac:dyDescent="0.45">
      <c r="A24" s="1"/>
      <c r="B24" s="118" t="s">
        <v>52</v>
      </c>
      <c r="C24" s="119"/>
      <c r="D24" s="119"/>
      <c r="E24" s="119"/>
      <c r="F24" s="120"/>
      <c r="G24" s="9">
        <v>0</v>
      </c>
      <c r="H24" s="14" t="s">
        <v>3</v>
      </c>
      <c r="I24" s="1"/>
    </row>
    <row r="25" spans="1:9" x14ac:dyDescent="0.45">
      <c r="A25" s="1"/>
      <c r="B25" s="112" t="s">
        <v>53</v>
      </c>
      <c r="C25" s="113"/>
      <c r="D25" s="113"/>
      <c r="E25" s="113"/>
      <c r="F25" s="114"/>
      <c r="G25" s="24">
        <f>(G23+G24)*'Fane 12. Nøgletal'!C33</f>
        <v>50836.251252796807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45">
      <c r="A29" s="1"/>
      <c r="B29" s="112" t="s">
        <v>60</v>
      </c>
      <c r="C29" s="113"/>
      <c r="D29" s="113"/>
      <c r="E29" s="113"/>
      <c r="F29" s="114"/>
      <c r="G29" s="24">
        <f>(G23+G24-G25)*(1+'Fane 12. Nøgletal'!C13)+32.36/2</f>
        <v>2975409.9334278558</v>
      </c>
      <c r="H29" s="14" t="s">
        <v>3</v>
      </c>
      <c r="I29" s="1"/>
    </row>
    <row r="30" spans="1:9" x14ac:dyDescent="0.45">
      <c r="A30" s="1"/>
      <c r="B30" s="112" t="s">
        <v>147</v>
      </c>
      <c r="C30" s="113"/>
      <c r="D30" s="113"/>
      <c r="E30" s="113"/>
      <c r="F30" s="114"/>
      <c r="G30" s="9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4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59508.198668557117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4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2951475.735923362</v>
      </c>
      <c r="H35" s="14" t="s">
        <v>3</v>
      </c>
      <c r="I35" s="1"/>
    </row>
    <row r="36" spans="1:9" x14ac:dyDescent="0.45">
      <c r="A36" s="1"/>
      <c r="B36" s="37" t="s">
        <v>192</v>
      </c>
      <c r="C36" s="55"/>
      <c r="D36" s="55"/>
      <c r="E36" s="55"/>
      <c r="F36" s="56"/>
      <c r="G36" s="9">
        <f>SUM('Fane 2.1. Økonomisk ramme 2022'!C10)*(1+'Fane 12. Nøgletal'!C14)</f>
        <v>0</v>
      </c>
      <c r="H36" s="14" t="s">
        <v>3</v>
      </c>
      <c r="I36" s="1"/>
    </row>
    <row r="37" spans="1:9" x14ac:dyDescent="0.45">
      <c r="A37" s="1"/>
      <c r="B37" s="112" t="s">
        <v>221</v>
      </c>
      <c r="C37" s="113"/>
      <c r="D37" s="113"/>
      <c r="E37" s="113"/>
      <c r="F37" s="114"/>
      <c r="G37" s="9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4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59029.514718467239</v>
      </c>
      <c r="H38" s="14" t="s">
        <v>3</v>
      </c>
      <c r="I38" s="1"/>
    </row>
    <row r="39" spans="1:9" x14ac:dyDescent="0.45">
      <c r="A39" s="1"/>
      <c r="B39" s="48"/>
      <c r="C39" s="49"/>
      <c r="D39" s="49"/>
      <c r="E39" s="49"/>
      <c r="F39" s="49"/>
      <c r="G39" s="49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4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2901991.2937348709</v>
      </c>
      <c r="H42" s="14" t="s">
        <v>3</v>
      </c>
      <c r="I42" s="1"/>
    </row>
    <row r="43" spans="1:9" x14ac:dyDescent="0.45">
      <c r="A43" s="1"/>
      <c r="B43" s="112" t="s">
        <v>92</v>
      </c>
      <c r="C43" s="113"/>
      <c r="D43" s="113"/>
      <c r="E43" s="113"/>
      <c r="F43" s="114"/>
      <c r="G43" s="9">
        <f>-'Fane 11. Bortfald'!C19*(1+'Fane 12. Nøgletal'!C14)</f>
        <v>0</v>
      </c>
      <c r="H43" s="14" t="s">
        <v>3</v>
      </c>
      <c r="I43" s="1"/>
    </row>
    <row r="44" spans="1:9" x14ac:dyDescent="0.4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58039.825874697417</v>
      </c>
      <c r="H44" s="14" t="s">
        <v>3</v>
      </c>
      <c r="I44" s="1"/>
    </row>
    <row r="45" spans="1:9" x14ac:dyDescent="0.45">
      <c r="A45" s="1"/>
      <c r="B45" s="48"/>
      <c r="C45" s="49"/>
      <c r="D45" s="49"/>
      <c r="E45" s="49"/>
      <c r="F45" s="49"/>
      <c r="G45" s="49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4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2853336.5077041122</v>
      </c>
      <c r="H48" s="14" t="s">
        <v>3</v>
      </c>
      <c r="I48" s="1"/>
    </row>
    <row r="49" spans="1:9" x14ac:dyDescent="0.45">
      <c r="A49" s="1"/>
      <c r="B49" s="112" t="s">
        <v>150</v>
      </c>
      <c r="C49" s="113"/>
      <c r="D49" s="113"/>
      <c r="E49" s="113"/>
      <c r="F49" s="114"/>
      <c r="G49" s="9">
        <f>-'Fane 11. Bortfald'!C26*(1+'Fane 12. Nøgletal'!C14)</f>
        <v>0</v>
      </c>
      <c r="H49" s="14" t="s">
        <v>3</v>
      </c>
      <c r="I49" s="1"/>
    </row>
    <row r="50" spans="1:9" x14ac:dyDescent="0.4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57066.730154082245</v>
      </c>
      <c r="H50" s="14" t="s">
        <v>3</v>
      </c>
      <c r="I50" s="1"/>
    </row>
    <row r="51" spans="1:9" x14ac:dyDescent="0.45">
      <c r="A51" s="1"/>
      <c r="B51" s="48"/>
      <c r="C51" s="49"/>
      <c r="D51" s="49"/>
      <c r="E51" s="49"/>
      <c r="F51" s="49"/>
      <c r="G51" s="49"/>
      <c r="H51" s="20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15" t="s">
        <v>198</v>
      </c>
      <c r="C53" s="116"/>
      <c r="D53" s="116"/>
      <c r="E53" s="116"/>
      <c r="F53" s="116"/>
      <c r="G53" s="116"/>
      <c r="H53" s="117"/>
      <c r="I53" s="1"/>
    </row>
    <row r="54" spans="1:9" x14ac:dyDescent="0.45">
      <c r="A54" s="1"/>
      <c r="B54" s="112" t="s">
        <v>199</v>
      </c>
      <c r="C54" s="113"/>
      <c r="D54" s="113"/>
      <c r="E54" s="113"/>
      <c r="F54" s="114"/>
      <c r="G54" s="24">
        <f>(G48+G49-G50)*(1+'Fane 12. Nøgletal'!C14)</f>
        <v>2805497.4678159454</v>
      </c>
      <c r="H54" s="14" t="s">
        <v>3</v>
      </c>
      <c r="I54" s="1"/>
    </row>
    <row r="55" spans="1:9" x14ac:dyDescent="0.45">
      <c r="A55" s="1"/>
      <c r="B55" s="112" t="s">
        <v>200</v>
      </c>
      <c r="C55" s="113"/>
      <c r="D55" s="113"/>
      <c r="E55" s="113"/>
      <c r="F55" s="114"/>
      <c r="G55" s="9">
        <f>-'Fane 11. Bortfald'!C33*(1+'Fane 12. Nøgletal'!C14)</f>
        <v>0</v>
      </c>
      <c r="H55" s="14" t="s">
        <v>3</v>
      </c>
      <c r="I55" s="1"/>
    </row>
    <row r="56" spans="1:9" x14ac:dyDescent="0.45">
      <c r="A56" s="1"/>
      <c r="B56" s="112" t="s">
        <v>201</v>
      </c>
      <c r="C56" s="113"/>
      <c r="D56" s="113"/>
      <c r="E56" s="113"/>
      <c r="F56" s="114"/>
      <c r="G56" s="24">
        <f>(G54+G55)*'Fane 12. Nøgletal'!C29</f>
        <v>56109.94935631891</v>
      </c>
      <c r="H56" s="14" t="s">
        <v>3</v>
      </c>
      <c r="I56" s="1"/>
    </row>
    <row r="57" spans="1:9" x14ac:dyDescent="0.45">
      <c r="A57" s="1"/>
      <c r="B57" s="48"/>
      <c r="C57" s="49"/>
      <c r="D57" s="49"/>
      <c r="E57" s="49"/>
      <c r="F57" s="49"/>
      <c r="G57" s="49"/>
      <c r="H57" s="20"/>
      <c r="I57" s="1"/>
    </row>
  </sheetData>
  <sheetProtection algorithmName="SHA-512" hashValue="9LlCNGu7ZEls9dR71HHvF4TgohcROViw5wTE5FlzznK1QwpHEaHNWCqqAgxyY1VWkDMFKFCzgrX9qfhwF8pBQg==" saltValue="ZC5A/a5Gmbi4qO6u0fVVRg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9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4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4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4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45">
      <c r="A5" s="1"/>
      <c r="B5" s="112" t="s">
        <v>62</v>
      </c>
      <c r="C5" s="113"/>
      <c r="D5" s="113"/>
      <c r="E5" s="113"/>
      <c r="F5" s="114"/>
      <c r="G5" s="24">
        <v>3119972</v>
      </c>
      <c r="H5" s="14" t="s">
        <v>3</v>
      </c>
      <c r="I5" s="1"/>
    </row>
    <row r="6" spans="1:9" x14ac:dyDescent="0.45">
      <c r="A6" s="1"/>
      <c r="B6" s="112" t="s">
        <v>59</v>
      </c>
      <c r="C6" s="113"/>
      <c r="D6" s="113"/>
      <c r="E6" s="113"/>
      <c r="F6" s="114"/>
      <c r="G6" s="24">
        <f>G5*'Fane 12. Nøgletal'!C33</f>
        <v>53039.524000000005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4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3105882.5184451994</v>
      </c>
      <c r="H10" s="14" t="s">
        <v>3</v>
      </c>
      <c r="I10" s="1"/>
    </row>
    <row r="11" spans="1:9" x14ac:dyDescent="0.45">
      <c r="A11" s="1"/>
      <c r="B11" s="118" t="s">
        <v>65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45">
      <c r="A12" s="1"/>
      <c r="B12" s="112" t="s">
        <v>66</v>
      </c>
      <c r="C12" s="113"/>
      <c r="D12" s="113"/>
      <c r="E12" s="113"/>
      <c r="F12" s="114"/>
      <c r="G12" s="24">
        <f>G10*'Fane 12. Nøgletal'!C33+G11*'Fane 12. Nøgletal'!C33</f>
        <v>52800.00281356839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45">
      <c r="A16" s="1"/>
      <c r="B16" s="112" t="s">
        <v>68</v>
      </c>
      <c r="C16" s="113"/>
      <c r="D16" s="113"/>
      <c r="E16" s="113"/>
      <c r="F16" s="114"/>
      <c r="G16" s="24">
        <f>(G10+G11-G12)*(1+'Fane 12. Nøgletal'!C9)</f>
        <v>3091856.6635801527</v>
      </c>
      <c r="H16" s="14" t="s">
        <v>3</v>
      </c>
      <c r="I16" s="1"/>
    </row>
    <row r="17" spans="1:9" x14ac:dyDescent="0.45">
      <c r="A17" s="1"/>
      <c r="B17" s="112" t="s">
        <v>126</v>
      </c>
      <c r="C17" s="113"/>
      <c r="D17" s="113"/>
      <c r="E17" s="113"/>
      <c r="F17" s="114"/>
      <c r="G17" s="9">
        <v>0</v>
      </c>
      <c r="H17" s="14" t="s">
        <v>3</v>
      </c>
      <c r="I17" s="1"/>
    </row>
    <row r="18" spans="1:9" x14ac:dyDescent="0.45">
      <c r="A18" s="1"/>
      <c r="B18" s="118" t="s">
        <v>69</v>
      </c>
      <c r="C18" s="119"/>
      <c r="D18" s="119"/>
      <c r="E18" s="119"/>
      <c r="F18" s="120"/>
      <c r="G18" s="9">
        <v>0</v>
      </c>
      <c r="H18" s="14" t="s">
        <v>3</v>
      </c>
      <c r="I18" s="1"/>
    </row>
    <row r="19" spans="1:9" x14ac:dyDescent="0.45">
      <c r="A19" s="1"/>
      <c r="B19" s="112" t="s">
        <v>70</v>
      </c>
      <c r="C19" s="113"/>
      <c r="D19" s="113"/>
      <c r="E19" s="113"/>
      <c r="F19" s="114"/>
      <c r="G19" s="24">
        <f>(G16+G17+G18)*'Fane 12. Nøgletal'!C33</f>
        <v>52561.563280862596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45">
      <c r="A23" s="1"/>
      <c r="B23" s="112" t="s">
        <v>72</v>
      </c>
      <c r="C23" s="113"/>
      <c r="D23" s="113"/>
      <c r="E23" s="113"/>
      <c r="F23" s="114"/>
      <c r="G23" s="24">
        <f>(SUM(G16:G18)-G19)*(1+'Fane 12. Nøgletal'!C9)</f>
        <v>3077894.1480730907</v>
      </c>
      <c r="H23" s="14" t="s">
        <v>3</v>
      </c>
      <c r="I23" s="1"/>
    </row>
    <row r="24" spans="1:9" x14ac:dyDescent="0.45">
      <c r="A24" s="1"/>
      <c r="B24" s="118" t="s">
        <v>73</v>
      </c>
      <c r="C24" s="119"/>
      <c r="D24" s="119"/>
      <c r="E24" s="119"/>
      <c r="F24" s="120"/>
      <c r="G24" s="9">
        <v>0</v>
      </c>
      <c r="H24" s="14" t="s">
        <v>3</v>
      </c>
      <c r="I24" s="1"/>
    </row>
    <row r="25" spans="1:9" x14ac:dyDescent="0.45">
      <c r="A25" s="1"/>
      <c r="B25" s="112" t="s">
        <v>74</v>
      </c>
      <c r="C25" s="113"/>
      <c r="D25" s="113"/>
      <c r="E25" s="113"/>
      <c r="F25" s="114"/>
      <c r="G25" s="24">
        <f>G23*'Fane 12. Nøgletal'!C33+G24*'Fane 12. Nøgletal'!C33</f>
        <v>52324.200517242549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45">
      <c r="A29" s="1"/>
      <c r="B29" s="112" t="s">
        <v>75</v>
      </c>
      <c r="C29" s="113"/>
      <c r="D29" s="113"/>
      <c r="E29" s="113"/>
      <c r="F29" s="114"/>
      <c r="G29" s="24">
        <f>(G23+G24-G25)*(1+'Fane 12. Nøgletal'!C13)+32.36/2</f>
        <v>3062498.0809160294</v>
      </c>
      <c r="H29" s="14" t="s">
        <v>3</v>
      </c>
      <c r="I29" s="1"/>
    </row>
    <row r="30" spans="1:9" x14ac:dyDescent="0.45">
      <c r="A30" s="1"/>
      <c r="B30" s="112" t="s">
        <v>152</v>
      </c>
      <c r="C30" s="113"/>
      <c r="D30" s="113"/>
      <c r="E30" s="113"/>
      <c r="F30" s="114"/>
      <c r="G30" s="9">
        <v>0</v>
      </c>
      <c r="H30" s="14" t="s">
        <v>3</v>
      </c>
      <c r="I30" s="1"/>
    </row>
    <row r="31" spans="1:9" x14ac:dyDescent="0.4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84218.697225190816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4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3014614.3921718667</v>
      </c>
      <c r="H35" s="14" t="s">
        <v>3</v>
      </c>
      <c r="I35" s="1"/>
    </row>
    <row r="36" spans="1:9" s="41" customFormat="1" x14ac:dyDescent="0.45">
      <c r="A36" s="38"/>
      <c r="B36" s="37" t="s">
        <v>222</v>
      </c>
      <c r="C36" s="39"/>
      <c r="D36" s="39"/>
      <c r="E36" s="39"/>
      <c r="F36" s="40"/>
      <c r="G36" s="9">
        <f>SUM('Fane 2.1. Økonomisk ramme 2022'!C11)*(1+'Fane 12. Nøgletal'!C14)</f>
        <v>0</v>
      </c>
      <c r="H36" s="14" t="s">
        <v>3</v>
      </c>
      <c r="I36" s="38"/>
    </row>
    <row r="37" spans="1:9" x14ac:dyDescent="0.45">
      <c r="A37" s="1"/>
      <c r="B37" s="112" t="s">
        <v>193</v>
      </c>
      <c r="C37" s="113"/>
      <c r="D37" s="113"/>
      <c r="E37" s="113"/>
      <c r="F37" s="114"/>
      <c r="G37" s="9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4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82901.895784726337</v>
      </c>
      <c r="H38" s="14" t="s">
        <v>3</v>
      </c>
      <c r="I38" s="1"/>
    </row>
    <row r="39" spans="1:9" x14ac:dyDescent="0.45">
      <c r="A39" s="1"/>
      <c r="B39" s="48"/>
      <c r="C39" s="49"/>
      <c r="D39" s="49"/>
      <c r="E39" s="49"/>
      <c r="F39" s="49"/>
      <c r="G39" s="49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4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2941387.1476252181</v>
      </c>
      <c r="H42" s="14" t="s">
        <v>3</v>
      </c>
      <c r="I42" s="1"/>
    </row>
    <row r="43" spans="1:9" x14ac:dyDescent="0.45">
      <c r="A43" s="1"/>
      <c r="B43" s="112" t="s">
        <v>96</v>
      </c>
      <c r="C43" s="113"/>
      <c r="D43" s="113"/>
      <c r="E43" s="113"/>
      <c r="F43" s="114"/>
      <c r="G43" s="9">
        <f>-'Fane 11. Bortfald'!E19*(1+'Fane 12. Nøgletal'!C14)</f>
        <v>0</v>
      </c>
      <c r="H43" s="14" t="s">
        <v>3</v>
      </c>
      <c r="I43" s="1"/>
    </row>
    <row r="44" spans="1:9" x14ac:dyDescent="0.4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43532.529784853228</v>
      </c>
      <c r="H44" s="14" t="s">
        <v>3</v>
      </c>
      <c r="I44" s="1"/>
    </row>
    <row r="45" spans="1:9" x14ac:dyDescent="0.45">
      <c r="A45" s="1"/>
      <c r="B45" s="48"/>
      <c r="C45" s="49"/>
      <c r="D45" s="49"/>
      <c r="E45" s="49"/>
      <c r="F45" s="49"/>
      <c r="G45" s="49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15" t="s">
        <v>153</v>
      </c>
      <c r="C51" s="116"/>
      <c r="D51" s="116"/>
      <c r="E51" s="116"/>
      <c r="F51" s="116"/>
      <c r="G51" s="116"/>
      <c r="H51" s="117"/>
      <c r="I51" s="1"/>
    </row>
    <row r="52" spans="1:9" x14ac:dyDescent="0.45">
      <c r="A52" s="1"/>
      <c r="B52" s="112" t="s">
        <v>154</v>
      </c>
      <c r="C52" s="113"/>
      <c r="D52" s="113"/>
      <c r="E52" s="113"/>
      <c r="F52" s="114"/>
      <c r="G52" s="24">
        <f>(G42+G43-G44)*(1+'Fane 12. Nøgletal'!C14)</f>
        <v>2907417.5380792385</v>
      </c>
      <c r="H52" s="14" t="s">
        <v>3</v>
      </c>
      <c r="I52" s="1"/>
    </row>
    <row r="53" spans="1:9" x14ac:dyDescent="0.45">
      <c r="A53" s="1"/>
      <c r="B53" s="112" t="s">
        <v>155</v>
      </c>
      <c r="C53" s="113"/>
      <c r="D53" s="113"/>
      <c r="E53" s="113"/>
      <c r="F53" s="114"/>
      <c r="G53" s="9">
        <f>-'Fane 11. Bortfald'!E26*(1+'Fane 12. Nøgletal'!C13)</f>
        <v>0</v>
      </c>
      <c r="H53" s="14" t="s">
        <v>3</v>
      </c>
      <c r="I53" s="1"/>
    </row>
    <row r="54" spans="1:9" x14ac:dyDescent="0.45">
      <c r="A54" s="1"/>
      <c r="B54" s="112" t="s">
        <v>156</v>
      </c>
      <c r="C54" s="113"/>
      <c r="D54" s="113"/>
      <c r="E54" s="113"/>
      <c r="F54" s="114"/>
      <c r="G54" s="24">
        <f>(G52+G53)*'Fane 12. Nøgletal'!C24</f>
        <v>43029.779563572731</v>
      </c>
      <c r="H54" s="14" t="s">
        <v>3</v>
      </c>
      <c r="I54" s="1"/>
    </row>
    <row r="55" spans="1:9" x14ac:dyDescent="0.45">
      <c r="A55" s="1"/>
      <c r="B55" s="48"/>
      <c r="C55" s="49"/>
      <c r="D55" s="49"/>
      <c r="E55" s="49"/>
      <c r="F55" s="49"/>
      <c r="G55" s="49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15" t="s">
        <v>194</v>
      </c>
      <c r="C57" s="116"/>
      <c r="D57" s="116"/>
      <c r="E57" s="116"/>
      <c r="F57" s="116"/>
      <c r="G57" s="116"/>
      <c r="H57" s="117"/>
      <c r="I57" s="1"/>
    </row>
    <row r="58" spans="1:9" x14ac:dyDescent="0.45">
      <c r="A58" s="1"/>
      <c r="B58" s="112" t="s">
        <v>195</v>
      </c>
      <c r="C58" s="113"/>
      <c r="D58" s="113"/>
      <c r="E58" s="113"/>
      <c r="F58" s="114"/>
      <c r="G58" s="24">
        <f>(G52+G53-G54)*(1+'Fane 12. Nøgletal'!C14)</f>
        <v>2873840.2381187677</v>
      </c>
      <c r="H58" s="14" t="s">
        <v>3</v>
      </c>
      <c r="I58" s="1"/>
    </row>
    <row r="59" spans="1:9" x14ac:dyDescent="0.45">
      <c r="A59" s="1"/>
      <c r="B59" s="112" t="s">
        <v>196</v>
      </c>
      <c r="C59" s="113"/>
      <c r="D59" s="113"/>
      <c r="E59" s="113"/>
      <c r="F59" s="114"/>
      <c r="G59" s="9">
        <f>-'Fane 11. Bortfald'!E33*(1+'Fane 12. Nøgletal'!C14)</f>
        <v>0</v>
      </c>
      <c r="H59" s="14" t="s">
        <v>3</v>
      </c>
      <c r="I59" s="1"/>
    </row>
    <row r="60" spans="1:9" x14ac:dyDescent="0.45">
      <c r="A60" s="1"/>
      <c r="B60" s="112" t="s">
        <v>197</v>
      </c>
      <c r="C60" s="113"/>
      <c r="D60" s="113"/>
      <c r="E60" s="113"/>
      <c r="F60" s="114"/>
      <c r="G60" s="24">
        <f>(G58+G59)*'Fane 12. Nøgletal'!C24</f>
        <v>42532.835524157766</v>
      </c>
      <c r="H60" s="14" t="s">
        <v>3</v>
      </c>
      <c r="I60" s="1"/>
    </row>
    <row r="61" spans="1:9" x14ac:dyDescent="0.45">
      <c r="A61" s="1"/>
      <c r="B61" s="48"/>
      <c r="C61" s="49"/>
      <c r="D61" s="49"/>
      <c r="E61" s="49"/>
      <c r="F61" s="49"/>
      <c r="G61" s="49"/>
      <c r="H61" s="20"/>
      <c r="I61" s="1"/>
    </row>
  </sheetData>
  <sheetProtection algorithmName="SHA-512" hashValue="QcwEeti+lhUvfCS+vSB1o7+KtB4SiQlAogGMMMqclJqc/rrisl8tLPeJg9YWo9r1rrEekh1PW5ZT0MRPb1TvXA==" saltValue="UBelkf0aKWajDyp4zteDWQ==" spinCount="100000" sheet="1" objects="1" scenarios="1"/>
  <mergeCells count="37">
    <mergeCell ref="B1:H3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2:F52"/>
    <mergeCell ref="B53:F53"/>
    <mergeCell ref="B54:F54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45">
      <c r="A9" s="1"/>
      <c r="B9" s="112" t="s">
        <v>105</v>
      </c>
      <c r="C9" s="113"/>
      <c r="D9" s="113"/>
      <c r="E9" s="113"/>
      <c r="F9" s="114"/>
      <c r="G9" s="65" t="s">
        <v>245</v>
      </c>
      <c r="H9" s="14"/>
      <c r="I9" s="1"/>
    </row>
    <row r="10" spans="1:9" x14ac:dyDescent="0.45">
      <c r="A10" s="1"/>
      <c r="B10" s="112" t="s">
        <v>141</v>
      </c>
      <c r="C10" s="113"/>
      <c r="D10" s="113"/>
      <c r="E10" s="113"/>
      <c r="F10" s="114"/>
      <c r="G10" s="66">
        <v>0</v>
      </c>
      <c r="H10" s="14"/>
      <c r="I10" s="1"/>
    </row>
    <row r="11" spans="1:9" x14ac:dyDescent="0.45">
      <c r="A11" s="1"/>
      <c r="B11" s="48"/>
      <c r="C11" s="49"/>
      <c r="D11" s="49"/>
      <c r="E11" s="49"/>
      <c r="F11" s="49"/>
      <c r="G11" s="49"/>
      <c r="H11" s="20"/>
      <c r="I11" s="1"/>
    </row>
    <row r="12" spans="1:9" ht="14.25" customHeight="1" x14ac:dyDescent="0.4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4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ujukop2oyceO4nteatCbSKsAszrVs/JT6x981zcUalntSHwzRltZg+sOf3I3iyF91dESrBj2DequIXgCq7WUg==" saltValue="II0gUUNhIZ5Y1alKjJhfCQ==" spinCount="100000" sheet="1" objects="1" scenarios="1"/>
  <mergeCells count="5">
    <mergeCell ref="B3:H4"/>
    <mergeCell ref="B9:F9"/>
    <mergeCell ref="B8:H8"/>
    <mergeCell ref="B10:F10"/>
    <mergeCell ref="B12:H13"/>
  </mergeCells>
  <conditionalFormatting sqref="G9">
    <cfRule type="containsBlanks" dxfId="1" priority="2">
      <formula>LEN(TRIM(G9))=0</formula>
    </cfRule>
  </conditionalFormatting>
  <conditionalFormatting sqref="G10">
    <cfRule type="containsBlanks" dxfId="0" priority="1">
      <formula>LEN(TRIM(G10))=0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2021-09-09T22:34:16Z</dcterms:modified>
</cp:coreProperties>
</file>