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Tønder Vand AS (V190)\ØR2022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2" sheetId="2" r:id="rId2"/>
    <sheet name="Fane 2.2. Økonomisk ramme 2023" sheetId="15" r:id="rId3"/>
    <sheet name="Fane 2.3. Økonomisk ramme 2024" sheetId="22" r:id="rId4"/>
    <sheet name="Fane 2.4. Økonomisk ramme 2025" sheetId="23" r:id="rId5"/>
    <sheet name="Fane 3. Omkostninger i ØR2021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20" sheetId="32" r:id="rId11"/>
    <sheet name="Fane 8. Anlægsprojekter" sheetId="11" r:id="rId12"/>
    <sheet name="Fane 9.1. Varige tillæg" sheetId="37" r:id="rId13"/>
    <sheet name="Fane 9.2. Engangstillæg" sheetId="39" r:id="rId14"/>
    <sheet name="Fane 10. Tilknyttet virksomhed" sheetId="29" r:id="rId15"/>
    <sheet name="Fane 11. Bortfald" sheetId="21" r:id="rId16"/>
    <sheet name="Fane 12. Nøgletal" sheetId="26" r:id="rId17"/>
  </sheets>
  <externalReferences>
    <externalReference r:id="rId18"/>
    <externalReference r:id="rId19"/>
  </externalReferences>
  <definedNames>
    <definedName name="Pris19">[1]Nøgletal!$C$5</definedName>
    <definedName name="Pris20">[2]Nøgletal!$C$6</definedName>
    <definedName name="Pris21">[2]Nøgletal!$C$7</definedName>
    <definedName name="Pris21UnderSpild">[2]Nøgletal!$E$7</definedName>
  </definedNames>
  <calcPr calcId="162913"/>
</workbook>
</file>

<file path=xl/calcChain.xml><?xml version="1.0" encoding="utf-8"?>
<calcChain xmlns="http://schemas.openxmlformats.org/spreadsheetml/2006/main">
  <c r="E12" i="32" l="1"/>
  <c r="E35" i="32" l="1"/>
  <c r="E30" i="32"/>
  <c r="E26" i="32" l="1"/>
  <c r="E37" i="32" s="1"/>
  <c r="C23" i="23" l="1"/>
  <c r="C23" i="22"/>
  <c r="C23" i="15"/>
  <c r="C30" i="2"/>
  <c r="C14" i="19"/>
  <c r="C11" i="29" l="1"/>
  <c r="C12" i="29" s="1"/>
  <c r="G30" i="30"/>
  <c r="C11" i="2" l="1"/>
  <c r="G36" i="36" s="1"/>
  <c r="C10" i="2"/>
  <c r="G36" i="30" s="1"/>
  <c r="E10" i="11" l="1"/>
  <c r="G6" i="30" l="1"/>
  <c r="G10" i="30" s="1"/>
  <c r="E32" i="21" l="1"/>
  <c r="E33" i="21" s="1"/>
  <c r="G59" i="36" s="1"/>
  <c r="C32" i="21"/>
  <c r="C33" i="21" s="1"/>
  <c r="G55" i="30" s="1"/>
  <c r="E25" i="21"/>
  <c r="E26" i="21" s="1"/>
  <c r="G53" i="36" s="1"/>
  <c r="C25" i="21"/>
  <c r="C26" i="21" s="1"/>
  <c r="G49" i="30" s="1"/>
  <c r="E18" i="21"/>
  <c r="E19" i="21" s="1"/>
  <c r="G43" i="36" s="1"/>
  <c r="C18" i="21"/>
  <c r="C19" i="21" s="1"/>
  <c r="G43" i="30" s="1"/>
  <c r="C10" i="15" l="1"/>
  <c r="C9" i="15"/>
  <c r="C9" i="22"/>
  <c r="C10" i="22"/>
  <c r="C10" i="23"/>
  <c r="C9" i="23"/>
  <c r="E35" i="39"/>
  <c r="C35" i="39"/>
  <c r="C36" i="39" s="1"/>
  <c r="E27" i="39"/>
  <c r="C27" i="39"/>
  <c r="C28" i="39" s="1"/>
  <c r="E19" i="39"/>
  <c r="C19" i="39"/>
  <c r="C20" i="39" s="1"/>
  <c r="E11" i="39"/>
  <c r="C11" i="39"/>
  <c r="C12" i="39" s="1"/>
  <c r="E20" i="39" l="1"/>
  <c r="E21" i="39"/>
  <c r="E36" i="39"/>
  <c r="E37" i="39"/>
  <c r="E12" i="39"/>
  <c r="E13" i="39"/>
  <c r="E28" i="39"/>
  <c r="E29" i="39"/>
  <c r="C13" i="39"/>
  <c r="C14" i="39" s="1"/>
  <c r="C29" i="39"/>
  <c r="C30" i="39" s="1"/>
  <c r="C21" i="39"/>
  <c r="C22" i="39" s="1"/>
  <c r="C37" i="39"/>
  <c r="C38" i="39" s="1"/>
  <c r="E30" i="39" l="1"/>
  <c r="C20" i="22" s="1"/>
  <c r="E38" i="39"/>
  <c r="C20" i="23" s="1"/>
  <c r="E14" i="39"/>
  <c r="C27" i="2" s="1"/>
  <c r="E22" i="39"/>
  <c r="C20" i="15" s="1"/>
  <c r="C19" i="23"/>
  <c r="C19" i="22"/>
  <c r="C19" i="15"/>
  <c r="C26" i="2"/>
  <c r="C21" i="22" l="1"/>
  <c r="C21" i="23"/>
  <c r="C21" i="15"/>
  <c r="C28" i="2"/>
  <c r="G6" i="36" l="1"/>
  <c r="G10" i="36" s="1"/>
  <c r="G12" i="36" l="1"/>
  <c r="G16" i="36" s="1"/>
  <c r="G19" i="36" s="1"/>
  <c r="G12" i="30"/>
  <c r="G16" i="30" s="1"/>
  <c r="G19" i="30" s="1"/>
  <c r="G23" i="36" l="1"/>
  <c r="G25" i="36" s="1"/>
  <c r="G23" i="30"/>
  <c r="G25" i="30" s="1"/>
  <c r="G29" i="30" l="1"/>
  <c r="G29" i="36"/>
  <c r="G31" i="30" l="1"/>
  <c r="G35" i="30" s="1"/>
  <c r="G31" i="36"/>
  <c r="G35" i="36" s="1"/>
  <c r="F11" i="11"/>
  <c r="G11" i="11"/>
  <c r="C10" i="37" l="1"/>
  <c r="C13" i="37" s="1"/>
  <c r="C14" i="37" s="1"/>
  <c r="C12" i="2" s="1"/>
  <c r="E11" i="21"/>
  <c r="E12" i="21" s="1"/>
  <c r="C11" i="21"/>
  <c r="C12" i="21" s="1"/>
  <c r="E11" i="29"/>
  <c r="E12" i="29" s="1"/>
  <c r="C15" i="19" l="1"/>
  <c r="C16" i="2"/>
  <c r="C17" i="2"/>
  <c r="C15" i="2"/>
  <c r="C14" i="2"/>
  <c r="C24" i="2" l="1"/>
  <c r="C17" i="22"/>
  <c r="C17" i="23"/>
  <c r="C17" i="15"/>
  <c r="G37" i="30"/>
  <c r="G38" i="30" s="1"/>
  <c r="E11" i="11"/>
  <c r="E10" i="37" l="1"/>
  <c r="E13" i="37" s="1"/>
  <c r="E14" i="37" s="1"/>
  <c r="C13" i="2" s="1"/>
  <c r="G37" i="36" s="1"/>
  <c r="G38" i="36" l="1"/>
  <c r="G42" i="36" s="1"/>
  <c r="G44" i="36" s="1"/>
  <c r="C20" i="2"/>
  <c r="G42" i="30" l="1"/>
  <c r="G44" i="30" s="1"/>
  <c r="C13" i="15" s="1"/>
  <c r="E20" i="27"/>
  <c r="E31" i="27" s="1"/>
  <c r="C9" i="2" l="1"/>
  <c r="C18" i="2" s="1"/>
  <c r="C19" i="2" s="1"/>
  <c r="G48" i="30"/>
  <c r="G50" i="30" s="1"/>
  <c r="C21" i="2"/>
  <c r="C14" i="15"/>
  <c r="C22" i="2" l="1"/>
  <c r="G54" i="30"/>
  <c r="G56" i="30" s="1"/>
  <c r="C13" i="23" s="1"/>
  <c r="C13" i="22"/>
  <c r="G52" i="36"/>
  <c r="G54" i="36" s="1"/>
  <c r="C14" i="22" s="1"/>
  <c r="G58" i="36" l="1"/>
  <c r="G60" i="36" s="1"/>
  <c r="C14" i="23" s="1"/>
  <c r="C8" i="15"/>
  <c r="C11" i="15" l="1"/>
  <c r="C12" i="15" s="1"/>
  <c r="C15" i="15" s="1"/>
  <c r="C8" i="22" l="1"/>
  <c r="C11" i="22" s="1"/>
  <c r="C12" i="22" l="1"/>
  <c r="C15" i="22" s="1"/>
  <c r="C26" i="22" s="1"/>
  <c r="C8" i="23" l="1"/>
  <c r="C11" i="23" s="1"/>
  <c r="C12" i="23" l="1"/>
  <c r="C15" i="23" s="1"/>
  <c r="C26" i="23" s="1"/>
  <c r="C33" i="2" l="1"/>
  <c r="C26" i="15" l="1"/>
</calcChain>
</file>

<file path=xl/sharedStrings.xml><?xml version="1.0" encoding="utf-8"?>
<sst xmlns="http://schemas.openxmlformats.org/spreadsheetml/2006/main" count="623" uniqueCount="255">
  <si>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</si>
  <si>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</si>
  <si>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</si>
  <si>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</si>
  <si>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</si>
  <si>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</si>
  <si>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</si>
  <si>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</si>
  <si>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</si>
  <si>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Individuelt effektiviseringskrav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</si>
  <si>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</si>
  <si>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</si>
  <si>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</si>
  <si>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</si>
  <si>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</si>
  <si>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</si>
  <si>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</si>
  <si>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</si>
  <si>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</si>
  <si>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</si>
  <si>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</si>
  <si>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</si>
  <si>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ØR2018</t>
  </si>
  <si>
    <t>Videreførte omkostninger fra den økonomiske ramme for 2020</t>
  </si>
  <si>
    <t>Videreførte omkostninger fra den økonomiske ramme for 2021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</si>
  <si>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</si>
  <si>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</si>
  <si>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</si>
  <si>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</si>
  <si>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</si>
  <si>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</si>
  <si>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</si>
  <si>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</si>
  <si>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</si>
  <si>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</si>
  <si>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Fane 2.3</t>
  </si>
  <si>
    <t>Fane 2.4</t>
  </si>
  <si>
    <t>Anlægsprojekter</t>
  </si>
  <si>
    <t>Bortfald</t>
  </si>
  <si>
    <t>Anlægsprojekter igangsat inden 1. marts 2016</t>
  </si>
  <si>
    <t>Nye tillæg - Drift</t>
  </si>
  <si>
    <t>Nye tillæg - Anlæg</t>
  </si>
  <si>
    <t>Prisudvikling til brug for nye omkostninger i ØR2020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</si>
  <si>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</si>
  <si>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</si>
  <si>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</si>
  <si>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</si>
  <si>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</si>
  <si>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</si>
  <si>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</si>
  <si>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</si>
  <si>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</si>
  <si>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</si>
  <si>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</si>
  <si>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</si>
  <si>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</si>
  <si>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</si>
  <si>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</si>
  <si>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</si>
  <si>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</si>
  <si>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Base for driftsomkostninger til de økonomiske rammer for 2021</t>
  </si>
  <si>
    <t>Vejledende generelt effektiviseringskrav til driftsomkostningerne i ØR23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</si>
  <si>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</si>
  <si>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</si>
  <si>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</si>
  <si>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</si>
  <si>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</si>
  <si>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</si>
  <si>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</si>
  <si>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</si>
  <si>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</si>
  <si>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</si>
  <si>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</si>
  <si>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</si>
  <si>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</si>
  <si>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Base for anlægsomkostninger til de økonomiske rammer for 2021</t>
  </si>
  <si>
    <t>Vejledende generelt effektiviseringskrav til anlægsomkostningerne i ØR23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</si>
  <si>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</si>
  <si>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</si>
  <si>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</si>
  <si>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</si>
  <si>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driftsomkostninger i de vejledende økonomiske rammer for 2023</t>
  </si>
  <si>
    <t>Generelt effektiviseringskrav til anlægsomkostninger i de vejledende økonomiske rammer for 2023</t>
  </si>
  <si>
    <t>Vejledende økonomisk ramme for 2023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</si>
  <si>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</si>
  <si>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</si>
  <si>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</si>
  <si>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</si>
  <si>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</si>
  <si>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</si>
  <si>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Engangstillæg i alt</t>
  </si>
  <si>
    <t>Fane 5: Individuelt effektiviseringskrav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</si>
  <si>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</si>
  <si>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</si>
  <si>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</si>
  <si>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</si>
  <si>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2023</t>
  </si>
  <si>
    <t>Økonomisk ramme for 2023</t>
  </si>
  <si>
    <t>Bortfald eller nedsættelse fra og med de økonomiske rammer for 2022</t>
  </si>
  <si>
    <t>Bortfald eller nedsættelse fra og med de økonomiske rammer for 2023</t>
  </si>
  <si>
    <t>Generelt effektiviseringskrav på drift</t>
  </si>
  <si>
    <t>Generelt effektiviseringskrav på anlæg</t>
  </si>
  <si>
    <t>Engangstillæg til de økonomiske rammer for 2022</t>
  </si>
  <si>
    <t>Engangstillæg til de økonomiske rammer for 2023</t>
  </si>
  <si>
    <t>Generelt effektiviseringskrav</t>
  </si>
  <si>
    <t>Individuelt effektiviseringskrav til de økonomiske rammer for 2019-2020</t>
  </si>
  <si>
    <t>Generelt effektiviseringskrav til anlægsomkostningerne</t>
  </si>
  <si>
    <t>Generelt effektiviseringskrav til driftsomkostningerne</t>
  </si>
  <si>
    <t>Fane 12</t>
  </si>
  <si>
    <t>Nøgletal</t>
  </si>
  <si>
    <t>Antal år i næste reguleringsperiode</t>
  </si>
  <si>
    <t>Fane 4.1</t>
  </si>
  <si>
    <t>Fane 4.2</t>
  </si>
  <si>
    <t>Fane 6</t>
  </si>
  <si>
    <t>Fane 11</t>
  </si>
  <si>
    <t>Fane 4.1: Generelt effektiviseringskrav til driftsomkostningerne</t>
  </si>
  <si>
    <t>Fane 4.2: Generelt effektiviseringskrav til anlægsomkostningerne</t>
  </si>
  <si>
    <t>Fane 6: Ikke-påvirkelige omkostninger</t>
  </si>
  <si>
    <t>Prisudvikling til brug for ØR2017-2018</t>
  </si>
  <si>
    <t>Prisudvikling til brug for ØR2019-2020</t>
  </si>
  <si>
    <t>Generelt effektiviseringskrav til brug for anlægsomkostninger i ØR2017-2018</t>
  </si>
  <si>
    <t>Generelt effektiviseringskrav til brug for nye anlægsomkostninger i ØR2018</t>
  </si>
  <si>
    <t>Generelt effektiviseringskrav til brug for anlægsomkostninger i ØR2019-2020</t>
  </si>
  <si>
    <t>Generelt effektiviseringskrav til brug for nye anlægsomkostninger i ØR2020</t>
  </si>
  <si>
    <t>Generelt effektiviseringskrav til brug for driftsomkostninger</t>
  </si>
  <si>
    <t>Korrektion af driftsomkostninger i grundlaget</t>
  </si>
  <si>
    <t>Korrektion af anlægsomkostninger i grundlaget</t>
  </si>
  <si>
    <t>Fane 3</t>
  </si>
  <si>
    <t>Vejledende økonomisk ramme for 2024</t>
  </si>
  <si>
    <t>Tilknyttet virksomhed</t>
  </si>
  <si>
    <t>Tilknyttet virksomhed under hovedvirksomheden</t>
  </si>
  <si>
    <t>Beskrivelse af tilknyttet virksomhed</t>
  </si>
  <si>
    <t>Tidligere tilknyttet virksomhed - Drift</t>
  </si>
  <si>
    <t>Tidligere tilknyttet virksomhed - Anlæg</t>
  </si>
  <si>
    <t>Videreførte omkostninger fra den økonomiske ramme for 2022</t>
  </si>
  <si>
    <t>Videreførte omkostninger fra den økonomiske ramme for 2023</t>
  </si>
  <si>
    <t>Nye tillæg i alt i 2020-prisniveau</t>
  </si>
  <si>
    <t>Engangstillæg i alt i 2022-prisniveau</t>
  </si>
  <si>
    <t>Engangstillæg til de økonomiske rammer for 2024</t>
  </si>
  <si>
    <t>Tilknyttet virksomhed under hovedvirksomheden i alt (2020-prisniveau)</t>
  </si>
  <si>
    <t>Prisudvikling til brug for nye omkostninger i ØR2021</t>
  </si>
  <si>
    <t>Individuelt effektiviseringskrav til de økonomiske rammer for 2021-2022</t>
  </si>
  <si>
    <t>Bortfald eller nedsættelse fra og med de økonomiske rammer for 2024</t>
  </si>
  <si>
    <t>Bortfald eller nedsættelse i alt i 2023-prisniveau</t>
  </si>
  <si>
    <t>Engangstillæg i alt i 2023-prisniveau</t>
  </si>
  <si>
    <t>Engangstillæg i alt i 2024-prisniveau</t>
  </si>
  <si>
    <t>Generelt effektiviseringskrav til brug for nye anlægsomkostninger i ØR2021</t>
  </si>
  <si>
    <t>Nye driftsomkostninger til de økonomiske rammer for 2021</t>
  </si>
  <si>
    <t>Generelt effektiviseringskrav til driftsomkostninger i de vejledende økonomiske rammer for 2024</t>
  </si>
  <si>
    <t>Base for driftsomkostninger til de vejledende økonomiske rammer for 2024</t>
  </si>
  <si>
    <t>Bortfald af driftsomkostninger i de økonomiske rammer for 2024</t>
  </si>
  <si>
    <t>Vejledende generelt effektiviseringskrav til driftsomkostningerne i ØR24</t>
  </si>
  <si>
    <t>Nye anlægsomkostninger til de økonomiske rammer for 2021</t>
  </si>
  <si>
    <t>Generelt effektiviseringskrav til anlægsomkostninger i de vejledende økonomiske rammer for 2024</t>
  </si>
  <si>
    <t>Base for anlægsomkostninger til de vejledende økonomiske rammer for 2024</t>
  </si>
  <si>
    <t>Bortfald af anlægsomkostninger i de økonomiske rammer for 2024</t>
  </si>
  <si>
    <t>Vejledende generelt effektiviseringskrav til anlægsomkostningerne i ØR24</t>
  </si>
  <si>
    <t>Anlægsprojekter igangsat senest den 1. marts 2016</t>
  </si>
  <si>
    <t>Anlægsprojekter igangsat senest den 1. marts 2016 i alt</t>
  </si>
  <si>
    <t>Generelt effektiviseringskrav til driftsomkostningerne i ØR21</t>
  </si>
  <si>
    <t>Kontrol med de økonomiske rammer til indregning</t>
  </si>
  <si>
    <t>Kontrol med overholdelse af økonomiske rammer</t>
  </si>
  <si>
    <t>Kontrol med overholdelse af den økonomiske ramme</t>
  </si>
  <si>
    <t>Samlet økonomisk ramme for 2022</t>
  </si>
  <si>
    <t>Fane 12: Nøgletal</t>
  </si>
  <si>
    <t>Fane 11: Bortfald eller nedsættelse af omkostninger til mål, medfinansiering eller udvidelse</t>
  </si>
  <si>
    <t>Fane 10: Tilknyttet virksomhed under hovedvirksomheden</t>
  </si>
  <si>
    <t>Fane 9.2: Engangstillæg</t>
  </si>
  <si>
    <t>Fane 9.1: Varige tillæg</t>
  </si>
  <si>
    <t>Fane 8: Anlægsprojekter igangsat senest den 1. marts 2016</t>
  </si>
  <si>
    <t>Fane 9.1</t>
  </si>
  <si>
    <t>Fane 9.2</t>
  </si>
  <si>
    <t>Fane 10</t>
  </si>
  <si>
    <t>Generelt effektiviseringskrav til anlægsomkostninger i de økonomiske rammer for 2021</t>
  </si>
  <si>
    <t>Generelt effektiviseringskrav til anlægsomkostningerne i ØR21</t>
  </si>
  <si>
    <t>Generelt effektiviseringskrav til driftsomkostninger i de økonomiske rammer for 2021</t>
  </si>
  <si>
    <t>Generelt effektiviseringskrav til driftsomkostninger i de økonomiske rammer for 2022</t>
  </si>
  <si>
    <t>Generelt effektiviseringskrav til driftsomkostningerne i ØR22</t>
  </si>
  <si>
    <t>Generelt effektiviseringskrav til anlægsomkostninger i de økonomiske rammer for 2022</t>
  </si>
  <si>
    <t>Generelt effektiviseringskrav til anlægsomkostningerne i ØR22</t>
  </si>
  <si>
    <t>Vejledende økonomisk ramme for 2025</t>
  </si>
  <si>
    <t>Omkostninger i ØR2021</t>
  </si>
  <si>
    <t>Kontrol af den økonomiske ramme for 2020</t>
  </si>
  <si>
    <t>Fane 2.1: Samlet økonomisk ramme for 2022</t>
  </si>
  <si>
    <t>Fane 2.2: Samlet økonomisk ramme for 2023</t>
  </si>
  <si>
    <t>Fane 2.3: Samlet økonomisk ramme for 2024</t>
  </si>
  <si>
    <t>Økonomisk ramme for 2024</t>
  </si>
  <si>
    <t>Fane 2.4: Samlet økonomisk ramme for 2025</t>
  </si>
  <si>
    <t>Videreførte omkostninger fra den økonomiske ramme for 2024</t>
  </si>
  <si>
    <t>Økonomisk ramme for 2025</t>
  </si>
  <si>
    <t>Fane 3: Videreførte omkostninger fra den økonomiske ramme for 2021</t>
  </si>
  <si>
    <t xml:space="preserve">Note: Denne opgørelse er taget fra jeres afgørelse for den økonomiske ramme for 2021. I kan derfor ikke komme med høringssvar til denne opgørelse. </t>
  </si>
  <si>
    <t>- Heraf nye driftsomkostninger til de økonomiske rammer for 2021</t>
  </si>
  <si>
    <t>Nye anlægsomkostninger i de økonomiske rammer for 2022</t>
  </si>
  <si>
    <t>Generelt effektiviseringskrav til anlægsomkostninger i de vejledende økonomiske rammer for 2025</t>
  </si>
  <si>
    <t>Base for anlægsomkostninger til de vejledende økonomiske rammer for 2025</t>
  </si>
  <si>
    <t>Bortfald af anlægsomkostninger i de økonomiske rammer for 2025</t>
  </si>
  <si>
    <t>Vejledende generelt effektiviseringskrav til anlægsomkostningerne i ØR25</t>
  </si>
  <si>
    <t>Generelt effektiviseringskrav til driftsomkostninger i de vejledende økonomiske rammer for 2025</t>
  </si>
  <si>
    <t>Base for driftsomkostninger til de vejledende økonomiske rammer for 2025</t>
  </si>
  <si>
    <t>Bortfald af driftsomkostninger i de økonomiske rammer for 2025</t>
  </si>
  <si>
    <t>Vejledende generelt effektiviseringskrav til driftsomkostningerne i ØR25</t>
  </si>
  <si>
    <t>Faktiske ikke-påvirkelige omkostninger i 2020</t>
  </si>
  <si>
    <t>Faktiske omkostninger i 2020</t>
  </si>
  <si>
    <t>Ikke-påvirkelige omkostninger i 2020-prisniveau</t>
  </si>
  <si>
    <t>Ikke-påvirkelige omkostninger i 2022-prisniveau</t>
  </si>
  <si>
    <t>Kontrol med overholdelse af den økonomiske ramme for 2020</t>
  </si>
  <si>
    <t>Indtægtsramme i den økonomiske ramme for 2020</t>
  </si>
  <si>
    <t>Faktiske indtægter i 2020</t>
  </si>
  <si>
    <t>Nye tillæg i alt i 2021-prisniveau</t>
  </si>
  <si>
    <t>Engangstillæg i alt i 2020-prisniveau</t>
  </si>
  <si>
    <t>Engangstillæg til de økonomiske rammer for 2025</t>
  </si>
  <si>
    <t>Engangstillæg i alt i 2025-prisniveau</t>
  </si>
  <si>
    <t>Tilknyttet virksomhed under hovedvirksomheden i alt (2021-prisniveau)</t>
  </si>
  <si>
    <t>Bortfald eller nedsættelse fra og med de økonomiske rammer for 2025</t>
  </si>
  <si>
    <t>Bortfald eller nedsættelse i alt i 2024-prisniveau</t>
  </si>
  <si>
    <t>Prisudvikling til brug for nye omkostninger i ØR2022</t>
  </si>
  <si>
    <t>Generelt effektiviseringskrav til brug for nye anlægsomkostninger i ØR2022</t>
  </si>
  <si>
    <t>- Heraf nye omkostninger i ØR21 - Drift</t>
  </si>
  <si>
    <t>- Heraf nye omkostninger i ØR21 - Anlæg</t>
  </si>
  <si>
    <t>Fane 7: Kontrol med overholdelse af den økonomiske ramme for 2020</t>
  </si>
  <si>
    <t>Nye driftsomkostninger til de økonomiske rammer for 2022</t>
  </si>
  <si>
    <t>- Heraf nye anlægsomkostninger til de økonomiske rammer for 2021</t>
  </si>
  <si>
    <t>Oversigt over den økonomiske ramme for 2021</t>
  </si>
  <si>
    <t xml:space="preserve">Indtægter fra tilbagebetalt skat eller sambeskatningsbidrag som følge af skattesagen </t>
  </si>
  <si>
    <t xml:space="preserve">Nedsættelse af økonomisk ramme som følge af skattesagen </t>
  </si>
  <si>
    <t>Ingen tilknyttet virksomhed</t>
  </si>
  <si>
    <t>Afgift for ledningsført vand</t>
  </si>
  <si>
    <t>Afgift til Forsyningssekretariatet</t>
  </si>
  <si>
    <t>Ejendomsskat</t>
  </si>
  <si>
    <t>Erstatninger</t>
  </si>
  <si>
    <t>Ingen bortfald eller nedsættelse</t>
  </si>
  <si>
    <t>Tidligere opgjorte kontrol med overholdelse af økonomiske rammer</t>
  </si>
  <si>
    <t>Over/underdækning i 2017</t>
  </si>
  <si>
    <t>Over/underdækning i 2018</t>
  </si>
  <si>
    <t>Over/underdækning i 2019</t>
  </si>
  <si>
    <t>Korrigeret over/underdækning i 2019</t>
  </si>
  <si>
    <t>Note: Opgørelsen af overholdelse af de økonomiske rammer og korrektioner heraf er taget fra jeres tidligere fremsendte økonomiske rammer og statusmeddelelser. I kan derfor ikke komme med høringssvar til denne opgørelse. Positive værdier er udtryk for at rammerne er overholdt(underdækning) og negative værdier er udtryk for at rammerne ikke er overholdt(overdækning).</t>
  </si>
  <si>
    <t>Allerede indregnet fradrag i jeres økonomiske rammer</t>
  </si>
  <si>
    <t>Indregnet fradrag i økonomisk ramme for 2021</t>
  </si>
  <si>
    <t>Indregnet fradrag i økonomisk ramme for 2022</t>
  </si>
  <si>
    <t xml:space="preserve">Note: Opgørelsen af indregnede fradrag er taget fra jeres tidligere fremsendte økonomiske rammer og statusmeddelelser. I kan derfor ikke komme med høringssvar til denne opgørelse. </t>
  </si>
  <si>
    <t>Korrektion af fradrag i den økonomiske ramme for 2022</t>
  </si>
  <si>
    <t>Tillæg/fradrag i den økonomiske ramme for 2022</t>
  </si>
  <si>
    <t>Til indregning i de økonomiske rammer for 2023-2026</t>
  </si>
  <si>
    <t>Korrektion af tidligere rammer</t>
  </si>
  <si>
    <t>Engangskorrektion vedrørende erstatninger</t>
  </si>
  <si>
    <t>Reduktion af vandspild</t>
  </si>
  <si>
    <t>Nye tilslutninger i 2020</t>
  </si>
  <si>
    <t>Note: Rækken 'Yderligere opkrævningsret for de økonomiske rammer for 2017 og/eller 2018' kan tage værdierne 0,1, 2 eller 3. Værdien er 1 hvis der er yderligere opkrævningsret fra 2017, 2 hvis der er yderligere opkrævningsret fra 2018 eller 3 hvis der er yderligere opkrævningsret for begge år. Hvis der ikke er nogen opkrævningsret overhovedet er værdien 0. Opkrævningsretten følger § 17, stk. 8 i den dagældende ØR-bekendtgørelse nr. 938 af 28. juni 2018.</t>
  </si>
  <si>
    <t>Resultat af kontrol med overholdelse af den økonomiske ramme for 2020</t>
  </si>
  <si>
    <t>Yderligere opkrævningsret for de økonomiske rammer 2017 og/eller 2018</t>
  </si>
  <si>
    <t>Ingen anlægsprojekter</t>
  </si>
  <si>
    <t>Ingen engangstillæg</t>
  </si>
  <si>
    <t>Til statusmeddelelse for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</si>
</sst>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_ * #,##0_ ;_ * \-#,##0_ ;_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4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139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0" fontId="8" fillId="8" borderId="1" xfId="0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10" fontId="8" fillId="8" borderId="1" xfId="4" applyNumberFormat="1" applyFont="1" applyFill="1" applyBorder="1" applyProtection="1"/>
    <xf numFmtId="165" fontId="8" fillId="8" borderId="1" xfId="1" applyNumberFormat="1" applyFont="1" applyFill="1" applyBorder="1" applyProtection="1"/>
    <xf numFmtId="49" fontId="8" fillId="8" borderId="2" xfId="0" applyNumberFormat="1" applyFont="1" applyFill="1" applyBorder="1" applyAlignment="1" applyProtection="1"/>
    <xf numFmtId="10" fontId="8" fillId="8" borderId="1" xfId="4" applyNumberFormat="1" applyFont="1" applyFill="1" applyBorder="1" applyAlignment="1" applyProtection="1"/>
    <xf numFmtId="0" fontId="15" fillId="0" borderId="2" xfId="0" applyFont="1" applyFill="1" applyBorder="1" applyAlignment="1" applyProtection="1"/>
    <xf numFmtId="3" fontId="15" fillId="0" borderId="1" xfId="0" applyNumberFormat="1" applyFont="1" applyFill="1" applyBorder="1" applyProtection="1"/>
    <xf numFmtId="0" fontId="15" fillId="0" borderId="1" xfId="0" applyFont="1" applyFill="1" applyBorder="1" applyProtection="1"/>
    <xf numFmtId="0" fontId="8" fillId="8" borderId="2" xfId="0" quotePrefix="1" applyFont="1" applyFill="1" applyBorder="1" applyAlignment="1" applyProtection="1">
      <alignment horizontal="left" wrapText="1"/>
    </xf>
    <xf numFmtId="3" fontId="7" fillId="3" borderId="6" xfId="0" applyNumberFormat="1" applyFont="1" applyFill="1" applyBorder="1" applyAlignment="1" applyProtection="1"/>
    <xf numFmtId="0" fontId="12" fillId="2" borderId="0" xfId="0" applyFont="1" applyFill="1" applyBorder="1" applyProtection="1"/>
    <xf numFmtId="0" fontId="8" fillId="8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0" fontId="7" fillId="3" borderId="1" xfId="0" applyFont="1" applyFill="1" applyBorder="1" applyAlignment="1" applyProtection="1"/>
    <xf numFmtId="49" fontId="8" fillId="8" borderId="2" xfId="0" applyNumberFormat="1" applyFont="1" applyFill="1" applyBorder="1" applyAlignment="1" applyProtection="1">
      <alignment horizontal="left"/>
    </xf>
    <xf numFmtId="49" fontId="0" fillId="2" borderId="0" xfId="0" applyNumberFormat="1" applyFill="1" applyProtection="1"/>
    <xf numFmtId="49" fontId="8" fillId="8" borderId="6" xfId="0" applyNumberFormat="1" applyFont="1" applyFill="1" applyBorder="1" applyAlignment="1" applyProtection="1">
      <alignment horizontal="left"/>
    </xf>
    <xf numFmtId="49" fontId="8" fillId="8" borderId="3" xfId="0" applyNumberFormat="1" applyFont="1" applyFill="1" applyBorder="1" applyAlignment="1" applyProtection="1">
      <alignment horizontal="left"/>
    </xf>
    <xf numFmtId="49" fontId="0" fillId="0" borderId="0" xfId="0" applyNumberFormat="1" applyProtection="1"/>
    <xf numFmtId="1" fontId="8" fillId="8" borderId="1" xfId="1" applyNumberFormat="1" applyFont="1" applyFill="1" applyBorder="1" applyProtection="1"/>
    <xf numFmtId="3" fontId="8" fillId="8" borderId="1" xfId="0" quotePrefix="1" applyNumberFormat="1" applyFont="1" applyFill="1" applyBorder="1" applyProtection="1"/>
    <xf numFmtId="10" fontId="8" fillId="8" borderId="1" xfId="0" applyNumberFormat="1" applyFont="1" applyFill="1" applyBorder="1" applyProtection="1"/>
    <xf numFmtId="165" fontId="8" fillId="4" borderId="2" xfId="1" applyNumberFormat="1" applyFont="1" applyFill="1" applyBorder="1" applyAlignment="1" applyProtection="1">
      <alignment horizontal="right"/>
    </xf>
    <xf numFmtId="0" fontId="8" fillId="8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applyFont="1" applyFill="1" applyBorder="1" applyAlignment="1" applyProtection="1">
      <alignment wrapText="1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  <xf numFmtId="10" fontId="8" fillId="0" borderId="1" xfId="4" applyNumberFormat="1" applyFont="1" applyFill="1" applyBorder="1" applyAlignment="1" applyProtection="1"/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" fillId="7" borderId="4" xfId="2" applyFont="1" applyFill="1" applyBorder="1" applyAlignment="1" applyProtection="1">
      <alignment horizontal="center"/>
    </xf>
    <xf numFmtId="0" fontId="1" fillId="7" borderId="0" xfId="2" applyFont="1" applyFill="1" applyBorder="1" applyAlignment="1" applyProtection="1">
      <alignment horizontal="center"/>
    </xf>
    <xf numFmtId="0" fontId="1" fillId="7" borderId="5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1" fillId="9" borderId="4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5" xfId="2" applyFont="1" applyFill="1" applyBorder="1" applyAlignment="1" applyProtection="1">
      <alignment horizontal="center"/>
    </xf>
    <xf numFmtId="0" fontId="12" fillId="6" borderId="4" xfId="2" applyFont="1" applyFill="1" applyBorder="1" applyAlignment="1" applyProtection="1">
      <alignment horizontal="center"/>
    </xf>
    <xf numFmtId="0" fontId="12" fillId="6" borderId="0" xfId="2" applyFont="1" applyFill="1" applyBorder="1" applyAlignment="1" applyProtection="1">
      <alignment horizontal="center"/>
    </xf>
    <xf numFmtId="0" fontId="12" fillId="6" borderId="5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8" fillId="8" borderId="2" xfId="0" applyFont="1" applyFill="1" applyBorder="1" applyAlignment="1" applyProtection="1">
      <alignment horizontal="left" wrapText="1"/>
    </xf>
    <xf numFmtId="0" fontId="8" fillId="8" borderId="6" xfId="0" applyFont="1" applyFill="1" applyBorder="1" applyAlignment="1" applyProtection="1">
      <alignment horizontal="left" wrapText="1"/>
    </xf>
    <xf numFmtId="0" fontId="8" fillId="8" borderId="3" xfId="0" applyFont="1" applyFill="1" applyBorder="1" applyAlignment="1" applyProtection="1">
      <alignment horizontal="left" wrapText="1"/>
    </xf>
    <xf numFmtId="0" fontId="8" fillId="8" borderId="2" xfId="0" quotePrefix="1" applyFont="1" applyFill="1" applyBorder="1" applyAlignment="1" applyProtection="1">
      <alignment wrapText="1"/>
    </xf>
    <xf numFmtId="0" fontId="8" fillId="8" borderId="6" xfId="0" quotePrefix="1" applyFont="1" applyFill="1" applyBorder="1" applyAlignment="1" applyProtection="1">
      <alignment wrapText="1"/>
    </xf>
    <xf numFmtId="0" fontId="8" fillId="8" borderId="3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6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applyFont="1" applyFill="1" applyBorder="1" applyAlignment="1" applyProtection="1">
      <alignment wrapText="1"/>
    </xf>
    <xf numFmtId="0" fontId="8" fillId="8" borderId="6" xfId="0" applyFont="1" applyFill="1" applyBorder="1" applyAlignment="1" applyProtection="1">
      <alignment wrapText="1"/>
    </xf>
    <xf numFmtId="0" fontId="8" fillId="8" borderId="3" xfId="0" applyFont="1" applyFill="1" applyBorder="1" applyAlignment="1" applyProtection="1">
      <alignment wrapText="1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8" borderId="6" xfId="0" applyFont="1" applyFill="1" applyBorder="1" applyAlignment="1" applyProtection="1"/>
    <xf numFmtId="0" fontId="8" fillId="8" borderId="3" xfId="0" applyFont="1" applyFill="1" applyBorder="1" applyAlignment="1" applyProtection="1"/>
    <xf numFmtId="0" fontId="2" fillId="2" borderId="0" xfId="0" applyFont="1" applyFill="1" applyAlignment="1" applyProtection="1">
      <alignment horizontal="center" wrapText="1"/>
    </xf>
    <xf numFmtId="0" fontId="0" fillId="0" borderId="0" xfId="0" applyAlignment="1" applyProtection="1">
      <alignment horizontal="center" wrapText="1"/>
    </xf>
    <xf numFmtId="0" fontId="0" fillId="0" borderId="8" xfId="0" applyBorder="1" applyAlignment="1" applyProtection="1">
      <alignment horizontal="center" wrapText="1"/>
    </xf>
    <xf numFmtId="0" fontId="8" fillId="8" borderId="9" xfId="0" applyFont="1" applyFill="1" applyBorder="1" applyAlignment="1" applyProtection="1">
      <alignment horizontal="center" vertical="top" wrapText="1"/>
    </xf>
    <xf numFmtId="0" fontId="8" fillId="8" borderId="7" xfId="0" applyFont="1" applyFill="1" applyBorder="1" applyAlignment="1" applyProtection="1">
      <alignment horizontal="center" vertical="top" wrapText="1"/>
    </xf>
    <xf numFmtId="0" fontId="8" fillId="8" borderId="10" xfId="0" applyFont="1" applyFill="1" applyBorder="1" applyAlignment="1" applyProtection="1">
      <alignment horizontal="center" vertical="top" wrapText="1"/>
    </xf>
    <xf numFmtId="0" fontId="8" fillId="8" borderId="11" xfId="0" applyFont="1" applyFill="1" applyBorder="1" applyAlignment="1" applyProtection="1">
      <alignment horizontal="center" vertical="top" wrapText="1"/>
    </xf>
    <xf numFmtId="0" fontId="8" fillId="8" borderId="8" xfId="0" applyFont="1" applyFill="1" applyBorder="1" applyAlignment="1" applyProtection="1">
      <alignment horizontal="center" vertical="top" wrapText="1"/>
    </xf>
    <xf numFmtId="0" fontId="8" fillId="8" borderId="12" xfId="0" applyFont="1" applyFill="1" applyBorder="1" applyAlignment="1" applyProtection="1">
      <alignment horizontal="center" vertical="top" wrapText="1"/>
    </xf>
    <xf numFmtId="0" fontId="8" fillId="8" borderId="2" xfId="0" quotePrefix="1" applyFont="1" applyFill="1" applyBorder="1" applyAlignment="1" applyProtection="1">
      <alignment horizontal="left"/>
    </xf>
    <xf numFmtId="0" fontId="8" fillId="8" borderId="6" xfId="0" quotePrefix="1" applyFont="1" applyFill="1" applyBorder="1" applyAlignment="1" applyProtection="1">
      <alignment horizontal="left"/>
    </xf>
    <xf numFmtId="0" fontId="8" fillId="8" borderId="3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F2DCDB"/>
      <color rgb="FF212121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AND/Sagsbehandling/&#216;R-statusark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VAND/Skabeloner/&#216;konomiske%20rammer/2021/&#216;R%20Statusark/&#216;R-statusark_Udkast_202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kro1"/>
      <sheetName val="ØR22-25"/>
      <sheetName val="ØR21-24"/>
      <sheetName val="ØR20-23"/>
      <sheetName val="ØR19-22"/>
      <sheetName val="ØR18"/>
      <sheetName val="ØR17-20"/>
      <sheetName val="Nøgletal"/>
      <sheetName val="Farvekode forklaring"/>
      <sheetName val="Ark3"/>
      <sheetName val="Ark2"/>
      <sheetName val="Ark1"/>
    </sheetNames>
    <sheetDataSet>
      <sheetData sheetId="0"/>
      <sheetData sheetId="1">
        <row r="1">
          <cell r="A1" t="str">
            <v>ØR 2022-2025 samt statusmeddelelser</v>
          </cell>
        </row>
      </sheetData>
      <sheetData sheetId="2">
        <row r="1">
          <cell r="A1" t="str">
            <v>ØR 2021-2024 samt statusmeddelelser</v>
          </cell>
        </row>
      </sheetData>
      <sheetData sheetId="3">
        <row r="1">
          <cell r="A1" t="str">
            <v>ØR 2020-2023 samt statusmeddelelser</v>
          </cell>
        </row>
      </sheetData>
      <sheetData sheetId="4">
        <row r="1">
          <cell r="A1" t="str">
            <v>ØR 2019-2022 samt statusmeddelelser</v>
          </cell>
        </row>
      </sheetData>
      <sheetData sheetId="5">
        <row r="1">
          <cell r="B1" t="str">
            <v>ØR 2018-2021 samt statusmeddelelser</v>
          </cell>
        </row>
      </sheetData>
      <sheetData sheetId="6">
        <row r="1">
          <cell r="A1" t="str">
            <v>AABBABAABBB[</v>
          </cell>
        </row>
      </sheetData>
      <sheetData sheetId="7">
        <row r="5">
          <cell r="C5">
            <v>1.0168999999999999</v>
          </cell>
        </row>
      </sheetData>
      <sheetData sheetId="8"/>
      <sheetData sheetId="9"/>
      <sheetData sheetId="10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kro1"/>
      <sheetName val="ØR22-25"/>
      <sheetName val="ØR21-24"/>
      <sheetName val="ØR20-23"/>
      <sheetName val="ØR19-22"/>
      <sheetName val="ØR18"/>
      <sheetName val="ØR17-20"/>
      <sheetName val="Nøgletal"/>
      <sheetName val="Ark2"/>
      <sheetName val="Ark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6">
          <cell r="C6">
            <v>1.0197000000000001</v>
          </cell>
        </row>
        <row r="7">
          <cell r="C7">
            <v>1.0122</v>
          </cell>
          <cell r="E7">
            <v>1.0132000000000001</v>
          </cell>
        </row>
      </sheetData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73" t="s">
        <v>4</v>
      </c>
      <c r="E6" s="73"/>
      <c r="F6" s="73"/>
      <c r="G6" s="73"/>
      <c r="H6" s="3"/>
      <c r="I6" s="1"/>
    </row>
    <row r="7" spans="1:9" ht="15" customHeight="1" x14ac:dyDescent="0.25">
      <c r="A7" s="1"/>
      <c r="B7" s="1"/>
      <c r="C7" s="3"/>
      <c r="D7" s="73"/>
      <c r="E7" s="73"/>
      <c r="F7" s="73"/>
      <c r="G7" s="73"/>
      <c r="H7" s="3"/>
      <c r="I7" s="1"/>
    </row>
    <row r="8" spans="1:9" ht="15.75" x14ac:dyDescent="0.25">
      <c r="A8" s="1"/>
      <c r="B8" s="1"/>
      <c r="C8" s="4"/>
      <c r="D8" s="78" t="s">
        <v>254</v>
      </c>
      <c r="E8" s="78"/>
      <c r="F8" s="78"/>
      <c r="G8" s="78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77" t="s">
        <v>5</v>
      </c>
      <c r="E11" s="77"/>
      <c r="F11" s="77"/>
      <c r="G11" s="77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70" t="s">
        <v>163</v>
      </c>
      <c r="E13" s="71"/>
      <c r="F13" s="71"/>
      <c r="G13" s="72"/>
      <c r="H13" s="1"/>
      <c r="I13" s="1"/>
    </row>
    <row r="14" spans="1:9" x14ac:dyDescent="0.25">
      <c r="A14" s="1"/>
      <c r="B14" s="1"/>
      <c r="C14" s="6" t="s">
        <v>15</v>
      </c>
      <c r="D14" s="70" t="s">
        <v>83</v>
      </c>
      <c r="E14" s="71"/>
      <c r="F14" s="71"/>
      <c r="G14" s="72"/>
      <c r="H14" s="1"/>
      <c r="I14" s="1"/>
    </row>
    <row r="15" spans="1:9" x14ac:dyDescent="0.25">
      <c r="A15" s="1"/>
      <c r="B15" s="1"/>
      <c r="C15" s="6" t="s">
        <v>35</v>
      </c>
      <c r="D15" s="70" t="s">
        <v>128</v>
      </c>
      <c r="E15" s="71"/>
      <c r="F15" s="71"/>
      <c r="G15" s="72"/>
      <c r="H15" s="1"/>
      <c r="I15" s="1"/>
    </row>
    <row r="16" spans="1:9" x14ac:dyDescent="0.25">
      <c r="A16" s="1"/>
      <c r="B16" s="1"/>
      <c r="C16" s="6" t="s">
        <v>36</v>
      </c>
      <c r="D16" s="70" t="s">
        <v>180</v>
      </c>
      <c r="E16" s="71"/>
      <c r="F16" s="71"/>
      <c r="G16" s="72"/>
      <c r="H16" s="1"/>
      <c r="I16" s="1"/>
    </row>
    <row r="17" spans="1:9" x14ac:dyDescent="0.25">
      <c r="A17" s="1"/>
      <c r="B17" s="1"/>
      <c r="C17" s="6" t="s">
        <v>127</v>
      </c>
      <c r="D17" s="70" t="s">
        <v>181</v>
      </c>
      <c r="E17" s="71"/>
      <c r="F17" s="71"/>
      <c r="G17" s="72"/>
      <c r="H17" s="1"/>
      <c r="I17" s="1"/>
    </row>
    <row r="18" spans="1:9" x14ac:dyDescent="0.25">
      <c r="A18" s="1"/>
      <c r="B18" s="1"/>
      <c r="C18" s="32" t="s">
        <v>111</v>
      </c>
      <c r="D18" s="79" t="s">
        <v>100</v>
      </c>
      <c r="E18" s="80"/>
      <c r="F18" s="80"/>
      <c r="G18" s="81"/>
      <c r="H18" s="1"/>
      <c r="I18" s="1"/>
    </row>
    <row r="19" spans="1:9" x14ac:dyDescent="0.25">
      <c r="A19" s="1"/>
      <c r="B19" s="1"/>
      <c r="C19" s="32" t="s">
        <v>112</v>
      </c>
      <c r="D19" s="79" t="s">
        <v>101</v>
      </c>
      <c r="E19" s="80"/>
      <c r="F19" s="80"/>
      <c r="G19" s="81"/>
      <c r="H19" s="1"/>
      <c r="I19" s="1"/>
    </row>
    <row r="20" spans="1:9" x14ac:dyDescent="0.25">
      <c r="A20" s="1"/>
      <c r="B20" s="1"/>
      <c r="C20" s="32" t="s">
        <v>7</v>
      </c>
      <c r="D20" s="79" t="s">
        <v>9</v>
      </c>
      <c r="E20" s="80"/>
      <c r="F20" s="80"/>
      <c r="G20" s="81"/>
      <c r="H20" s="1"/>
      <c r="I20" s="1"/>
    </row>
    <row r="21" spans="1:9" x14ac:dyDescent="0.25">
      <c r="A21" s="1"/>
      <c r="B21" s="1"/>
      <c r="C21" s="6" t="s">
        <v>113</v>
      </c>
      <c r="D21" s="85" t="s">
        <v>12</v>
      </c>
      <c r="E21" s="86"/>
      <c r="F21" s="86"/>
      <c r="G21" s="87"/>
      <c r="H21" s="1"/>
      <c r="I21" s="1"/>
    </row>
    <row r="22" spans="1:9" x14ac:dyDescent="0.25">
      <c r="A22" s="1"/>
      <c r="B22" s="1"/>
      <c r="C22" s="6" t="s">
        <v>87</v>
      </c>
      <c r="D22" s="74" t="s">
        <v>182</v>
      </c>
      <c r="E22" s="75"/>
      <c r="F22" s="75"/>
      <c r="G22" s="76"/>
      <c r="H22" s="1"/>
      <c r="I22" s="1"/>
    </row>
    <row r="23" spans="1:9" x14ac:dyDescent="0.25">
      <c r="A23" s="1"/>
      <c r="B23" s="1"/>
      <c r="C23" s="6" t="s">
        <v>8</v>
      </c>
      <c r="D23" s="74" t="s">
        <v>37</v>
      </c>
      <c r="E23" s="75"/>
      <c r="F23" s="75"/>
      <c r="G23" s="76"/>
      <c r="H23" s="1"/>
      <c r="I23" s="1"/>
    </row>
    <row r="24" spans="1:9" x14ac:dyDescent="0.25">
      <c r="A24" s="1"/>
      <c r="B24" s="1"/>
      <c r="C24" s="6" t="s">
        <v>170</v>
      </c>
      <c r="D24" s="74" t="s">
        <v>88</v>
      </c>
      <c r="E24" s="75"/>
      <c r="F24" s="75"/>
      <c r="G24" s="76"/>
      <c r="H24" s="1"/>
      <c r="I24" s="1"/>
    </row>
    <row r="25" spans="1:9" x14ac:dyDescent="0.25">
      <c r="A25" s="1"/>
      <c r="B25" s="1"/>
      <c r="C25" s="6" t="s">
        <v>171</v>
      </c>
      <c r="D25" s="74" t="s">
        <v>89</v>
      </c>
      <c r="E25" s="75"/>
      <c r="F25" s="75"/>
      <c r="G25" s="76"/>
      <c r="H25" s="1"/>
      <c r="I25" s="1"/>
    </row>
    <row r="26" spans="1:9" x14ac:dyDescent="0.25">
      <c r="A26" s="1"/>
      <c r="B26" s="1"/>
      <c r="C26" s="6" t="s">
        <v>172</v>
      </c>
      <c r="D26" s="74" t="s">
        <v>129</v>
      </c>
      <c r="E26" s="75"/>
      <c r="F26" s="75"/>
      <c r="G26" s="76"/>
      <c r="H26" s="1"/>
      <c r="I26" s="1"/>
    </row>
    <row r="27" spans="1:9" x14ac:dyDescent="0.25">
      <c r="A27" s="1"/>
      <c r="B27" s="1"/>
      <c r="C27" s="6" t="s">
        <v>114</v>
      </c>
      <c r="D27" s="74" t="s">
        <v>38</v>
      </c>
      <c r="E27" s="75"/>
      <c r="F27" s="75"/>
      <c r="G27" s="76"/>
      <c r="H27" s="1"/>
      <c r="I27" s="1"/>
    </row>
    <row r="28" spans="1:9" x14ac:dyDescent="0.25">
      <c r="A28" s="1"/>
      <c r="B28" s="1"/>
      <c r="C28" s="6" t="s">
        <v>108</v>
      </c>
      <c r="D28" s="82" t="s">
        <v>109</v>
      </c>
      <c r="E28" s="83"/>
      <c r="F28" s="83"/>
      <c r="G28" s="84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Ik/aa9LM9JbL0h8L9TI/8nriQegXseGfDhsoAK+/RY4WQm3A1KUMuYZ6tB0wJN5sbeJpznqAdTyFPFjLKlzvSw==" saltValue="axUe8WPYgZpHo33kzEisQA==" spinCount="100000" sheet="1" objects="1" scenarios="1"/>
  <mergeCells count="19">
    <mergeCell ref="D27:G27"/>
    <mergeCell ref="D28:G28"/>
    <mergeCell ref="D21:G21"/>
    <mergeCell ref="D23:G23"/>
    <mergeCell ref="D24:G24"/>
    <mergeCell ref="D26:G26"/>
    <mergeCell ref="D25:G25"/>
    <mergeCell ref="D14:G14"/>
    <mergeCell ref="D6:G7"/>
    <mergeCell ref="D22:G22"/>
    <mergeCell ref="D11:G11"/>
    <mergeCell ref="D8:G8"/>
    <mergeCell ref="D15:G15"/>
    <mergeCell ref="D16:G16"/>
    <mergeCell ref="D13:G13"/>
    <mergeCell ref="D17:G17"/>
    <mergeCell ref="D18:G18"/>
    <mergeCell ref="D19:G19"/>
    <mergeCell ref="D20:G20"/>
  </mergeCells>
  <hyperlinks>
    <hyperlink ref="D14:G14" location="'Fane 2.2. Økonomisk ramme 2023'!A1" display="Vejledende økonomisk ramme for 2022"/>
    <hyperlink ref="D24:G24" location="'Fane 9.1. Varige tillæg'!A1" display="Varige tillæg"/>
    <hyperlink ref="D26:G26" location="'Fane 10. Tilknyttet virksomhed'!A1" display="Tilknyttet virksomhed"/>
    <hyperlink ref="D27:G27" location="'Fane 11. Bortfald'!A1" display="Bortfald"/>
    <hyperlink ref="D13:G13" location="'Fane 2.1. Økonomisk ramme 2022'!A1" display="Samlet økonomisk ramme for 2021"/>
    <hyperlink ref="D16:G16" location="'Fane 2.4. Økonomisk ramme 2025'!A1" display="Vejledende økonomisk ramme for 2024"/>
    <hyperlink ref="D15:G15" location="'Fane 2.3. Økonomisk ramme 2024'!A1" display="Vejledende økonomisk ramme for 2023"/>
    <hyperlink ref="D21:G21" location="'Fane 6. Ikke-påvirkelige omk.'!A1" display="Ikke-påvirkelige omkostninger"/>
    <hyperlink ref="D22:G22" location="'Fane 7. Kontrol af ØR2020'!A1" display="Kontrol af den økonomiske ramme for 2019"/>
    <hyperlink ref="D23:G23" location="'Fane 8. Anlægsprojekter'!A1" display="Anlægsprojekter"/>
    <hyperlink ref="D28:G28" location="'Fane 12. Nøgletal'!A1" display="Nøgletal"/>
    <hyperlink ref="D17:G17" location="'Fane 3. Omkostninger i ØR2021'!A1" display="Omkostninger i ØR2020"/>
    <hyperlink ref="D25:G25" location="'Fane 9.2. Engangstillæg'!A1" display="Engangstillæg"/>
    <hyperlink ref="D19:G19" location="'Fane 4.2. Gen. krav - anlæg'!A1" display="Generelt effektiviseringskrav på anlæg"/>
    <hyperlink ref="D18:G18" location="'Fane 4.1. Gen. krav - drift'!A1" display="Generelt effektiviseringskrav på drift"/>
    <hyperlink ref="D20:G20" location="'Fane 5. Individuelt eff. krav'!A1" display="Individuelt effektiviseringskrav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1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88" t="s">
        <v>117</v>
      </c>
      <c r="C3" s="88"/>
      <c r="D3" s="88"/>
      <c r="E3" s="1"/>
      <c r="F3" s="1"/>
    </row>
    <row r="4" spans="1:6" ht="15" customHeight="1" x14ac:dyDescent="0.25">
      <c r="A4" s="1"/>
      <c r="B4" s="88"/>
      <c r="C4" s="88"/>
      <c r="D4" s="88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114" t="s">
        <v>202</v>
      </c>
      <c r="C8" s="115"/>
      <c r="D8" s="116"/>
      <c r="E8" s="1"/>
      <c r="F8" s="1"/>
    </row>
    <row r="9" spans="1:6" ht="15" customHeight="1" x14ac:dyDescent="0.25">
      <c r="A9" s="1"/>
      <c r="B9" s="47" t="s">
        <v>33</v>
      </c>
      <c r="C9" s="11" t="s">
        <v>203</v>
      </c>
      <c r="D9" s="11"/>
      <c r="E9" s="1"/>
      <c r="F9" s="1"/>
    </row>
    <row r="10" spans="1:6" ht="15" customHeight="1" x14ac:dyDescent="0.25">
      <c r="A10" s="1"/>
      <c r="B10" s="62" t="s">
        <v>227</v>
      </c>
      <c r="C10" s="9">
        <v>9201427</v>
      </c>
      <c r="D10" s="14" t="s">
        <v>3</v>
      </c>
      <c r="E10" s="1"/>
      <c r="F10" s="1"/>
    </row>
    <row r="11" spans="1:6" x14ac:dyDescent="0.25">
      <c r="A11" s="1"/>
      <c r="B11" s="62" t="s">
        <v>228</v>
      </c>
      <c r="C11" s="9">
        <v>69176</v>
      </c>
      <c r="D11" s="14" t="s">
        <v>3</v>
      </c>
      <c r="E11" s="1"/>
      <c r="F11" s="1"/>
    </row>
    <row r="12" spans="1:6" x14ac:dyDescent="0.25">
      <c r="A12" s="1"/>
      <c r="B12" s="62" t="s">
        <v>229</v>
      </c>
      <c r="C12" s="9">
        <v>11977.94</v>
      </c>
      <c r="D12" s="14" t="s">
        <v>3</v>
      </c>
      <c r="E12" s="1"/>
      <c r="F12" s="1"/>
    </row>
    <row r="13" spans="1:6" x14ac:dyDescent="0.25">
      <c r="A13" s="1"/>
      <c r="B13" s="62" t="s">
        <v>230</v>
      </c>
      <c r="C13" s="9">
        <v>37662.839999999997</v>
      </c>
      <c r="D13" s="14" t="s">
        <v>3</v>
      </c>
      <c r="E13" s="1"/>
      <c r="F13" s="1"/>
    </row>
    <row r="14" spans="1:6" x14ac:dyDescent="0.25">
      <c r="A14" s="1"/>
      <c r="B14" s="50" t="s">
        <v>204</v>
      </c>
      <c r="C14" s="12">
        <f>SUM(C10:C13)</f>
        <v>9320243.7799999993</v>
      </c>
      <c r="D14" s="13" t="s">
        <v>3</v>
      </c>
      <c r="E14" s="1"/>
      <c r="F14" s="1"/>
    </row>
    <row r="15" spans="1:6" x14ac:dyDescent="0.25">
      <c r="A15" s="1"/>
      <c r="B15" s="50" t="s">
        <v>205</v>
      </c>
      <c r="C15" s="12">
        <f>C14*(1+'Fane 12. Nøgletal'!C14)^2</f>
        <v>9381858.8864027653</v>
      </c>
      <c r="D15" s="13" t="s">
        <v>3</v>
      </c>
      <c r="E15" s="1"/>
      <c r="F15" s="1"/>
    </row>
    <row r="16" spans="1:6" x14ac:dyDescent="0.25">
      <c r="A16" s="1"/>
      <c r="B16" s="16"/>
      <c r="C16" s="15"/>
      <c r="D16" s="15"/>
      <c r="E16" s="1"/>
      <c r="F16" s="1"/>
    </row>
    <row r="17" spans="1:6" x14ac:dyDescent="0.25">
      <c r="A17" s="1"/>
      <c r="B17" s="16"/>
      <c r="C17" s="15"/>
      <c r="D17" s="15"/>
      <c r="E17" s="1"/>
      <c r="F17" s="1"/>
    </row>
    <row r="18" spans="1:6" x14ac:dyDescent="0.25">
      <c r="A18" s="1"/>
      <c r="B18" s="1"/>
      <c r="C18" s="1"/>
      <c r="D18" s="1"/>
      <c r="E18" s="1"/>
      <c r="F18" s="1"/>
    </row>
    <row r="19" spans="1:6" x14ac:dyDescent="0.25">
      <c r="A19" s="1"/>
      <c r="B19" s="1"/>
      <c r="C19" s="1"/>
      <c r="D19" s="1"/>
      <c r="E19" s="1"/>
      <c r="F19" s="1"/>
    </row>
    <row r="20" spans="1:6" x14ac:dyDescent="0.25">
      <c r="A20" s="1"/>
      <c r="B20" s="1"/>
      <c r="C20" s="1"/>
      <c r="D20" s="1"/>
      <c r="E20" s="1"/>
      <c r="F20" s="1"/>
    </row>
    <row r="21" spans="1:6" x14ac:dyDescent="0.25">
      <c r="A21" s="1"/>
      <c r="B21" s="1"/>
      <c r="C21" s="1"/>
      <c r="D21" s="1"/>
      <c r="E21" s="1"/>
      <c r="F21" s="1"/>
    </row>
    <row r="22" spans="1:6" x14ac:dyDescent="0.25">
      <c r="A22" s="1"/>
      <c r="B22" s="1"/>
      <c r="C22" s="1"/>
      <c r="D22" s="1"/>
      <c r="E22" s="1"/>
      <c r="F22" s="1"/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1"/>
      <c r="C27" s="1"/>
      <c r="D27" s="1"/>
      <c r="E27" s="1"/>
      <c r="F27" s="1"/>
    </row>
    <row r="28" spans="1:6" x14ac:dyDescent="0.25">
      <c r="A28" s="1"/>
      <c r="B28" s="1"/>
      <c r="C28" s="1"/>
      <c r="D28" s="1"/>
      <c r="E28" s="1"/>
      <c r="F28" s="1"/>
    </row>
    <row r="29" spans="1:6" x14ac:dyDescent="0.25">
      <c r="A29" s="1"/>
      <c r="B29" s="1"/>
      <c r="C29" s="1"/>
      <c r="D29" s="1"/>
      <c r="E29" s="1"/>
      <c r="F29" s="1"/>
    </row>
    <row r="30" spans="1:6" x14ac:dyDescent="0.25">
      <c r="A30" s="1"/>
      <c r="B30" s="1"/>
      <c r="C30" s="1"/>
      <c r="D30" s="1"/>
      <c r="E30" s="1"/>
      <c r="F30" s="1"/>
    </row>
    <row r="31" spans="1:6" x14ac:dyDescent="0.25">
      <c r="A31" s="1"/>
      <c r="B31" s="1"/>
      <c r="C31" s="1"/>
      <c r="D31" s="1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  <row r="51" spans="1:6" x14ac:dyDescent="0.25">
      <c r="A51" s="1"/>
      <c r="B51" s="1"/>
      <c r="C51" s="1"/>
      <c r="D51" s="1"/>
      <c r="E51" s="1"/>
      <c r="F51" s="1"/>
    </row>
  </sheetData>
  <sheetProtection algorithmName="SHA-512" hashValue="FESPUjbcKLJQAKz8IF/KndsToTbjnyME2w6DGEFVY55+IIE5ENWM9lkLT51KbFO+QgGLrxtkDUoI7u/inujyqg==" saltValue="Iy7OavJKMZdAVrmSJtAoZQ==" spinCount="100000" sheet="1" objects="1" scenarios="1"/>
  <mergeCells count="2">
    <mergeCell ref="B3:D4"/>
    <mergeCell ref="B8:D8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710937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107" t="s">
        <v>220</v>
      </c>
      <c r="C3" s="107"/>
      <c r="D3" s="107"/>
      <c r="E3" s="107"/>
      <c r="F3" s="107"/>
      <c r="G3" s="1"/>
    </row>
    <row r="4" spans="1:7" ht="15" customHeight="1" x14ac:dyDescent="0.25">
      <c r="A4" s="1"/>
      <c r="B4" s="107"/>
      <c r="C4" s="107"/>
      <c r="D4" s="107"/>
      <c r="E4" s="107"/>
      <c r="F4" s="107"/>
      <c r="G4" s="1"/>
    </row>
    <row r="5" spans="1:7" ht="15" customHeight="1" x14ac:dyDescent="0.25">
      <c r="A5" s="1"/>
      <c r="B5" s="54"/>
      <c r="C5" s="54"/>
      <c r="D5" s="54"/>
      <c r="E5" s="54"/>
      <c r="F5" s="54"/>
      <c r="G5" s="1"/>
    </row>
    <row r="6" spans="1:7" ht="15" customHeight="1" x14ac:dyDescent="0.25">
      <c r="A6" s="1"/>
      <c r="B6" s="54"/>
      <c r="C6" s="54"/>
      <c r="D6" s="54"/>
      <c r="E6" s="54"/>
      <c r="F6" s="54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14" t="s">
        <v>232</v>
      </c>
      <c r="C8" s="115"/>
      <c r="D8" s="115"/>
      <c r="E8" s="115"/>
      <c r="F8" s="116"/>
      <c r="G8" s="1"/>
    </row>
    <row r="9" spans="1:7" x14ac:dyDescent="0.25">
      <c r="A9" s="1"/>
      <c r="B9" s="111" t="s">
        <v>233</v>
      </c>
      <c r="C9" s="112"/>
      <c r="D9" s="113"/>
      <c r="E9" s="9">
        <v>6824678.4961766452</v>
      </c>
      <c r="F9" s="14" t="s">
        <v>3</v>
      </c>
      <c r="G9" s="1"/>
    </row>
    <row r="10" spans="1:7" x14ac:dyDescent="0.25">
      <c r="A10" s="1"/>
      <c r="B10" s="111" t="s">
        <v>234</v>
      </c>
      <c r="C10" s="112"/>
      <c r="D10" s="113"/>
      <c r="E10" s="9">
        <v>2782826.5742417648</v>
      </c>
      <c r="F10" s="14" t="s">
        <v>3</v>
      </c>
      <c r="G10" s="1"/>
    </row>
    <row r="11" spans="1:7" x14ac:dyDescent="0.25">
      <c r="A11" s="1"/>
      <c r="B11" s="111" t="s">
        <v>235</v>
      </c>
      <c r="C11" s="112"/>
      <c r="D11" s="113"/>
      <c r="E11" s="9">
        <v>3168989.5255947188</v>
      </c>
      <c r="F11" s="14" t="s">
        <v>3</v>
      </c>
      <c r="G11" s="1"/>
    </row>
    <row r="12" spans="1:7" x14ac:dyDescent="0.25">
      <c r="A12" s="1"/>
      <c r="B12" s="111" t="s">
        <v>236</v>
      </c>
      <c r="C12" s="112"/>
      <c r="D12" s="113"/>
      <c r="E12" s="9">
        <f>IF(OR(AND(E10&gt;0,E11&lt;0),AND(E11&lt;0,E34&gt;0)),E17+E18,E11)</f>
        <v>3168989.5255947188</v>
      </c>
      <c r="F12" s="14" t="s">
        <v>3</v>
      </c>
      <c r="G12" s="1"/>
    </row>
    <row r="13" spans="1:7" x14ac:dyDescent="0.25">
      <c r="A13" s="1"/>
      <c r="B13" s="50"/>
      <c r="C13" s="51"/>
      <c r="D13" s="51"/>
      <c r="E13" s="51"/>
      <c r="F13" s="20"/>
      <c r="G13" s="1"/>
    </row>
    <row r="14" spans="1:7" ht="54.75" customHeight="1" x14ac:dyDescent="0.25">
      <c r="A14" s="1"/>
      <c r="B14" s="90" t="s">
        <v>237</v>
      </c>
      <c r="C14" s="91"/>
      <c r="D14" s="91"/>
      <c r="E14" s="91"/>
      <c r="F14" s="92"/>
      <c r="G14" s="1"/>
    </row>
    <row r="15" spans="1:7" ht="27" customHeight="1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14" t="s">
        <v>238</v>
      </c>
      <c r="C16" s="115"/>
      <c r="D16" s="115"/>
      <c r="E16" s="115"/>
      <c r="F16" s="116"/>
      <c r="G16" s="1"/>
    </row>
    <row r="17" spans="1:7" x14ac:dyDescent="0.25">
      <c r="A17" s="1"/>
      <c r="B17" s="111" t="s">
        <v>239</v>
      </c>
      <c r="C17" s="112"/>
      <c r="D17" s="113"/>
      <c r="E17" s="9">
        <v>0</v>
      </c>
      <c r="F17" s="14" t="s">
        <v>3</v>
      </c>
      <c r="G17" s="1"/>
    </row>
    <row r="18" spans="1:7" x14ac:dyDescent="0.25">
      <c r="A18" s="1"/>
      <c r="B18" s="111" t="s">
        <v>240</v>
      </c>
      <c r="C18" s="112"/>
      <c r="D18" s="113"/>
      <c r="E18" s="9">
        <v>0</v>
      </c>
      <c r="F18" s="14" t="s">
        <v>3</v>
      </c>
      <c r="G18" s="1"/>
    </row>
    <row r="19" spans="1:7" x14ac:dyDescent="0.25">
      <c r="A19" s="1"/>
      <c r="B19" s="50"/>
      <c r="C19" s="51"/>
      <c r="D19" s="51"/>
      <c r="E19" s="51"/>
      <c r="F19" s="20"/>
      <c r="G19" s="1"/>
    </row>
    <row r="20" spans="1:7" ht="30" customHeight="1" x14ac:dyDescent="0.25">
      <c r="A20" s="1"/>
      <c r="B20" s="90" t="s">
        <v>241</v>
      </c>
      <c r="C20" s="91"/>
      <c r="D20" s="91"/>
      <c r="E20" s="91"/>
      <c r="F20" s="92"/>
      <c r="G20" s="1"/>
    </row>
    <row r="21" spans="1:7" ht="28.5" customHeight="1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59" t="s">
        <v>206</v>
      </c>
      <c r="C22" s="60"/>
      <c r="D22" s="60"/>
      <c r="E22" s="60"/>
      <c r="F22" s="61"/>
      <c r="G22" s="1"/>
    </row>
    <row r="23" spans="1:7" x14ac:dyDescent="0.25">
      <c r="A23" s="1"/>
      <c r="B23" s="56" t="s">
        <v>207</v>
      </c>
      <c r="C23" s="57"/>
      <c r="D23" s="58"/>
      <c r="E23" s="9">
        <v>31673832.682477377</v>
      </c>
      <c r="F23" s="14" t="s">
        <v>3</v>
      </c>
      <c r="G23" s="1"/>
    </row>
    <row r="24" spans="1:7" x14ac:dyDescent="0.25">
      <c r="A24" s="1"/>
      <c r="B24" s="56" t="s">
        <v>208</v>
      </c>
      <c r="C24" s="57"/>
      <c r="D24" s="58"/>
      <c r="E24" s="9">
        <v>27657651.84</v>
      </c>
      <c r="F24" s="14" t="s">
        <v>3</v>
      </c>
      <c r="G24" s="1"/>
    </row>
    <row r="25" spans="1:7" x14ac:dyDescent="0.25">
      <c r="A25" s="1"/>
      <c r="B25" s="56" t="s">
        <v>34</v>
      </c>
      <c r="C25" s="57"/>
      <c r="D25" s="58"/>
      <c r="E25" s="9">
        <v>0</v>
      </c>
      <c r="F25" s="14" t="s">
        <v>3</v>
      </c>
      <c r="G25" s="1"/>
    </row>
    <row r="26" spans="1:7" x14ac:dyDescent="0.25">
      <c r="A26" s="1"/>
      <c r="B26" s="63" t="s">
        <v>250</v>
      </c>
      <c r="C26" s="64"/>
      <c r="D26" s="65"/>
      <c r="E26" s="45">
        <f>E23-(E24-E25)</f>
        <v>4016180.8424773775</v>
      </c>
      <c r="F26" s="17" t="s">
        <v>3</v>
      </c>
      <c r="G26" s="1"/>
    </row>
    <row r="27" spans="1:7" x14ac:dyDescent="0.25">
      <c r="A27" s="1"/>
      <c r="B27" s="50"/>
      <c r="C27" s="51"/>
      <c r="D27" s="51"/>
      <c r="E27" s="51"/>
      <c r="F27" s="20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14" t="s">
        <v>242</v>
      </c>
      <c r="C29" s="115"/>
      <c r="D29" s="115"/>
      <c r="E29" s="115"/>
      <c r="F29" s="116"/>
      <c r="G29" s="1"/>
    </row>
    <row r="30" spans="1:7" x14ac:dyDescent="0.25">
      <c r="A30" s="1"/>
      <c r="B30" s="135" t="s">
        <v>243</v>
      </c>
      <c r="C30" s="136"/>
      <c r="D30" s="137"/>
      <c r="E30" s="10">
        <f>IF(AND(E11&lt;0,E26&gt;0,E34&gt;0,E18=0),0,IF(AND(E26&gt;0,E34&gt;0,E18&lt;0),IF(AND(E26&gt;0,ABS(E12)&gt;ABS(E26),ABS(E18)&gt;ABS(E26)),-(ABS(E18)-ABS(E26)),IF(AND(E26&gt;0,ABS(E12)&gt;ABS(E26),ABS(E18)&lt;ABS(E26)),ABS(E26)-ABS(E18),IF(AND(E26&gt;0,ABS(E12)&lt;ABS(E26)),ABS(E18),0))),IF(AND(E10&lt;0,E11&lt;0,E26&gt;0,ABS(E11)&lt;ABS(E26)),-E17,IF(AND(E10&lt;0,E11&lt;0,E26&gt;0,ABS(E11)&gt;ABS(E26),ABS(E18)&gt;ABS(E26)),-(ABS(E18)-ABS(E26)),IF(AND(E10&lt;0,E11&lt;0,E26&gt;0,ABS(E11)&gt;ABS(E26),ABS(E18)&lt;ABS(E26)),ABS(E26)-ABS(E18),IF(AND(E10&gt;0,E11&lt;0,E26&gt;0,E12=0),0,IF(AND(E10&gt;0,E11&lt;0,E26&gt;0,E12&lt;0,ABS(E12)&gt;ABS(E26),ABS(E18)&gt;ABS(E26)),-(ABS(E18)-ABS(E26)),IF(AND(E10&gt;0,E11&lt;0,E26&gt;0,E12&lt;0,ABS(E12)&gt;ABS(E26),ABS(E18)&lt;ABS(E26)),ABS(E26)-ABS(E18),IF(AND(E10&gt;0,E11&lt;0,E26&gt;0,E12&lt;0,ABS(E12)&lt;ABS(E26)),ABS(E18),IF(AND(E11&lt;0,E26&lt;0),E18, IF(AND(E11&gt;0,SUM(E11,E26)&gt;0),0,IF(AND(E11&gt;0,SUM(E11,E26)&lt;0),0))))))))))))</f>
        <v>0</v>
      </c>
      <c r="F30" s="17" t="s">
        <v>3</v>
      </c>
      <c r="G30" s="1"/>
    </row>
    <row r="31" spans="1:7" x14ac:dyDescent="0.25">
      <c r="A31" s="1"/>
      <c r="B31" s="114"/>
      <c r="C31" s="115"/>
      <c r="D31" s="115"/>
      <c r="E31" s="115"/>
      <c r="F31" s="116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14" t="s">
        <v>244</v>
      </c>
      <c r="C33" s="115"/>
      <c r="D33" s="115"/>
      <c r="E33" s="115"/>
      <c r="F33" s="116"/>
      <c r="G33" s="1"/>
    </row>
    <row r="34" spans="1:7" x14ac:dyDescent="0.25">
      <c r="A34" s="1"/>
      <c r="B34" s="129" t="s">
        <v>251</v>
      </c>
      <c r="C34" s="130"/>
      <c r="D34" s="131"/>
      <c r="E34" s="9">
        <v>3</v>
      </c>
      <c r="F34" s="14"/>
      <c r="G34" s="1"/>
    </row>
    <row r="35" spans="1:7" x14ac:dyDescent="0.25">
      <c r="A35" s="1"/>
      <c r="B35" s="129" t="s">
        <v>161</v>
      </c>
      <c r="C35" s="130"/>
      <c r="D35" s="131"/>
      <c r="E35" s="9">
        <f>IF(AND(OR(E34=1,E34=3),ABS(E26)&lt;ABS(SUM(E9:E11))),0,IF(AND(OR(E34=1,E34=3),ABS(E26)&gt;ABS(SUM(E9:E11))),SUM(E9:E11,E26),IF(AND(E34=2,ABS(E26)&lt;ABS(SUM(E10:E11))),0,IF(AND(E34=2,ABS(E26)&gt;ABS(SUM(E10:E11))),SUM(E10:E11,E26),IF(AND(E11&lt;0,E26&lt;0),E26,IF(AND(E11&gt;0,SUM(E11,E26)&gt;0),0,IF(AND(E11&gt;0,SUM(E11,E26)&lt;0),SUM(E11,E26),0)))))))</f>
        <v>0</v>
      </c>
      <c r="F35" s="14" t="s">
        <v>3</v>
      </c>
      <c r="G35" s="1"/>
    </row>
    <row r="36" spans="1:7" x14ac:dyDescent="0.25">
      <c r="A36" s="1"/>
      <c r="B36" s="129" t="s">
        <v>110</v>
      </c>
      <c r="C36" s="130"/>
      <c r="D36" s="131"/>
      <c r="E36" s="9">
        <v>4</v>
      </c>
      <c r="F36" s="14" t="s">
        <v>19</v>
      </c>
      <c r="G36" s="1"/>
    </row>
    <row r="37" spans="1:7" x14ac:dyDescent="0.25">
      <c r="A37" s="1"/>
      <c r="B37" s="138" t="s">
        <v>160</v>
      </c>
      <c r="C37" s="138"/>
      <c r="D37" s="138"/>
      <c r="E37" s="10">
        <f>E35/E36</f>
        <v>0</v>
      </c>
      <c r="F37" s="17" t="s">
        <v>3</v>
      </c>
      <c r="G37" s="1"/>
    </row>
    <row r="38" spans="1:7" x14ac:dyDescent="0.25">
      <c r="A38" s="1"/>
      <c r="B38" s="132"/>
      <c r="C38" s="133"/>
      <c r="D38" s="133"/>
      <c r="E38" s="133"/>
      <c r="F38" s="134"/>
      <c r="G38" s="1"/>
    </row>
    <row r="39" spans="1:7" ht="75" customHeight="1" x14ac:dyDescent="0.25">
      <c r="A39" s="1"/>
      <c r="B39" s="90" t="s">
        <v>249</v>
      </c>
      <c r="C39" s="91"/>
      <c r="D39" s="91"/>
      <c r="E39" s="91"/>
      <c r="F39" s="92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CqlQhp8bJZ7RKl+HgyopQGPVEnmbvAt4/cKDO8EO1Pn+OrM96ha57PsztQABZ84fRpxjaacQmD7uJr87ZSgJQw==" saltValue="xRKlXb4/FQ0/PMe9SY1ATg==" spinCount="100000" sheet="1" objects="1" scenarios="1"/>
  <mergeCells count="21">
    <mergeCell ref="B38:F38"/>
    <mergeCell ref="B39:F39"/>
    <mergeCell ref="B29:F29"/>
    <mergeCell ref="B30:D30"/>
    <mergeCell ref="B3:F4"/>
    <mergeCell ref="B17:D17"/>
    <mergeCell ref="B9:D9"/>
    <mergeCell ref="B8:F8"/>
    <mergeCell ref="B10:D10"/>
    <mergeCell ref="B37:D37"/>
    <mergeCell ref="B11:D11"/>
    <mergeCell ref="B12:D12"/>
    <mergeCell ref="B14:F14"/>
    <mergeCell ref="B16:F16"/>
    <mergeCell ref="B18:D18"/>
    <mergeCell ref="B20:F20"/>
    <mergeCell ref="B31:F31"/>
    <mergeCell ref="B33:F33"/>
    <mergeCell ref="B34:D34"/>
    <mergeCell ref="B35:D35"/>
    <mergeCell ref="B36:D36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8" t="s">
        <v>169</v>
      </c>
      <c r="C3" s="88"/>
      <c r="D3" s="88"/>
      <c r="E3" s="88"/>
      <c r="F3" s="88"/>
      <c r="G3" s="88"/>
      <c r="H3" s="88"/>
      <c r="I3" s="1"/>
    </row>
    <row r="4" spans="1:9" ht="15" customHeight="1" x14ac:dyDescent="0.25">
      <c r="A4" s="1"/>
      <c r="B4" s="88"/>
      <c r="C4" s="88"/>
      <c r="D4" s="88"/>
      <c r="E4" s="88"/>
      <c r="F4" s="88"/>
      <c r="G4" s="88"/>
      <c r="H4" s="8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114" t="s">
        <v>157</v>
      </c>
      <c r="C8" s="115"/>
      <c r="D8" s="115"/>
      <c r="E8" s="115"/>
      <c r="F8" s="115"/>
      <c r="G8" s="115"/>
      <c r="H8" s="116"/>
      <c r="I8" s="1"/>
    </row>
    <row r="9" spans="1:9" ht="39.75" customHeight="1" x14ac:dyDescent="0.25">
      <c r="A9" s="1"/>
      <c r="B9" s="19" t="s">
        <v>0</v>
      </c>
      <c r="C9" s="19" t="s">
        <v>1</v>
      </c>
      <c r="D9" s="19" t="s">
        <v>10</v>
      </c>
      <c r="E9" s="11" t="s">
        <v>2</v>
      </c>
      <c r="F9" s="11" t="s">
        <v>11</v>
      </c>
      <c r="G9" s="11" t="s">
        <v>31</v>
      </c>
      <c r="H9" s="53"/>
      <c r="I9" s="1"/>
    </row>
    <row r="10" spans="1:9" x14ac:dyDescent="0.25">
      <c r="A10" s="1"/>
      <c r="B10" s="67" t="s">
        <v>252</v>
      </c>
      <c r="C10" s="68">
        <v>0</v>
      </c>
      <c r="D10" s="9">
        <v>0</v>
      </c>
      <c r="E10" s="9">
        <f t="shared" ref="E10" si="0">IFERROR(D10/C10,0)</f>
        <v>0</v>
      </c>
      <c r="F10" s="9">
        <v>0</v>
      </c>
      <c r="G10" s="9">
        <v>0</v>
      </c>
      <c r="H10" s="14" t="s">
        <v>3</v>
      </c>
      <c r="I10" s="1"/>
    </row>
    <row r="11" spans="1:9" x14ac:dyDescent="0.25">
      <c r="A11" s="1"/>
      <c r="B11" s="114" t="s">
        <v>158</v>
      </c>
      <c r="C11" s="115"/>
      <c r="D11" s="116"/>
      <c r="E11" s="12">
        <f>SUM(E10:E10)</f>
        <v>0</v>
      </c>
      <c r="F11" s="12">
        <f>SUM(F10:F10)</f>
        <v>0</v>
      </c>
      <c r="G11" s="12">
        <f>SUM(G10:G10)</f>
        <v>0</v>
      </c>
      <c r="H11" s="13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6JB5oV9FFCo+8MFTAjviGg+N+eklZLuya6adtJu+4WK++g/6nFprRYsIBVV+tBQjjvtH5gkH3GnPLvjyOTMNUw==" saltValue="Bk1TdkDf1jsG2/QqBpv8Bg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8" t="s">
        <v>168</v>
      </c>
      <c r="C3" s="88"/>
      <c r="D3" s="88"/>
      <c r="E3" s="88"/>
      <c r="F3" s="88"/>
      <c r="G3" s="1"/>
    </row>
    <row r="4" spans="1:7" ht="15" customHeight="1" x14ac:dyDescent="0.25">
      <c r="A4" s="1"/>
      <c r="B4" s="88"/>
      <c r="C4" s="88"/>
      <c r="D4" s="88"/>
      <c r="E4" s="88"/>
      <c r="F4" s="88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50" t="s">
        <v>84</v>
      </c>
      <c r="C8" s="51"/>
      <c r="D8" s="51"/>
      <c r="E8" s="51"/>
      <c r="F8" s="20"/>
      <c r="G8" s="1"/>
    </row>
    <row r="9" spans="1:7" ht="17.25" customHeight="1" x14ac:dyDescent="0.25">
      <c r="A9" s="1"/>
      <c r="B9" s="48" t="s">
        <v>16</v>
      </c>
      <c r="C9" s="48" t="s">
        <v>11</v>
      </c>
      <c r="D9" s="49"/>
      <c r="E9" s="48" t="s">
        <v>32</v>
      </c>
      <c r="F9" s="53"/>
      <c r="G9" s="1"/>
    </row>
    <row r="10" spans="1:7" x14ac:dyDescent="0.25">
      <c r="A10" s="1"/>
      <c r="B10" s="25" t="s">
        <v>39</v>
      </c>
      <c r="C10" s="22">
        <f>'Fane 8. Anlægsprojekter'!F11</f>
        <v>0</v>
      </c>
      <c r="D10" s="14" t="s">
        <v>3</v>
      </c>
      <c r="E10" s="9">
        <f>SUM('Fane 8. Anlægsprojekter'!E11,'Fane 8. Anlægsprojekter'!G11)</f>
        <v>0</v>
      </c>
      <c r="F10" s="14" t="s">
        <v>3</v>
      </c>
      <c r="G10" s="1"/>
    </row>
    <row r="11" spans="1:7" x14ac:dyDescent="0.25">
      <c r="A11" s="1"/>
      <c r="B11" s="37" t="s">
        <v>247</v>
      </c>
      <c r="C11" s="22">
        <v>104764</v>
      </c>
      <c r="D11" s="14" t="s">
        <v>3</v>
      </c>
      <c r="E11" s="9">
        <v>342468</v>
      </c>
      <c r="F11" s="14" t="s">
        <v>3</v>
      </c>
      <c r="G11" s="1"/>
    </row>
    <row r="12" spans="1:7" x14ac:dyDescent="0.25">
      <c r="A12" s="1"/>
      <c r="B12" s="25" t="s">
        <v>248</v>
      </c>
      <c r="C12" s="22">
        <v>12129</v>
      </c>
      <c r="D12" s="14" t="s">
        <v>3</v>
      </c>
      <c r="E12" s="9">
        <v>8088</v>
      </c>
      <c r="F12" s="14" t="s">
        <v>3</v>
      </c>
      <c r="G12" s="1"/>
    </row>
    <row r="13" spans="1:7" x14ac:dyDescent="0.25">
      <c r="A13" s="1"/>
      <c r="B13" s="50" t="s">
        <v>136</v>
      </c>
      <c r="C13" s="12">
        <f>SUM(C10:C12)</f>
        <v>116893</v>
      </c>
      <c r="D13" s="13" t="s">
        <v>3</v>
      </c>
      <c r="E13" s="12">
        <f>SUM(E10:E12)</f>
        <v>350556</v>
      </c>
      <c r="F13" s="13" t="s">
        <v>3</v>
      </c>
      <c r="G13" s="1"/>
    </row>
    <row r="14" spans="1:7" x14ac:dyDescent="0.25">
      <c r="A14" s="1"/>
      <c r="B14" s="50" t="s">
        <v>209</v>
      </c>
      <c r="C14" s="12">
        <f>C13*(1+'Fane 12. Nøgletal'!C14)</f>
        <v>117278.74690000001</v>
      </c>
      <c r="D14" s="13" t="s">
        <v>3</v>
      </c>
      <c r="E14" s="12">
        <f>E13*(1+'Fane 12. Nøgletal'!C14)</f>
        <v>351712.83480000001</v>
      </c>
      <c r="F14" s="13" t="s">
        <v>3</v>
      </c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S5TaPfLBCEyhwFq1DfulE7fjy94vy1Ks35r0ZCQo0QZ1oZblkaQ4mt2z3Q2aZqROy0tAOeHMCJQINSDD2t3jFQ==" saltValue="CYDoC0Na3BeOpv039Bl5Ew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8" t="s">
        <v>167</v>
      </c>
      <c r="C3" s="88"/>
      <c r="D3" s="88"/>
      <c r="E3" s="88"/>
      <c r="F3" s="88"/>
      <c r="G3" s="1"/>
    </row>
    <row r="4" spans="1:7" ht="15" customHeight="1" x14ac:dyDescent="0.25">
      <c r="A4" s="1"/>
      <c r="B4" s="88"/>
      <c r="C4" s="88"/>
      <c r="D4" s="88"/>
      <c r="E4" s="88"/>
      <c r="F4" s="88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14" t="s">
        <v>102</v>
      </c>
      <c r="C8" s="115"/>
      <c r="D8" s="115"/>
      <c r="E8" s="115"/>
      <c r="F8" s="116"/>
      <c r="G8" s="1"/>
    </row>
    <row r="9" spans="1:7" x14ac:dyDescent="0.25">
      <c r="A9" s="1"/>
      <c r="B9" s="48" t="s">
        <v>16</v>
      </c>
      <c r="C9" s="48" t="s">
        <v>11</v>
      </c>
      <c r="D9" s="49"/>
      <c r="E9" s="48" t="s">
        <v>32</v>
      </c>
      <c r="F9" s="53"/>
      <c r="G9" s="1"/>
    </row>
    <row r="10" spans="1:7" x14ac:dyDescent="0.25">
      <c r="A10" s="1"/>
      <c r="B10" s="25" t="s">
        <v>253</v>
      </c>
      <c r="C10" s="22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50" t="s">
        <v>210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27" t="s">
        <v>9</v>
      </c>
      <c r="C12" s="28">
        <f>-C11*'Fane 5. Individuelt eff. krav'!G10</f>
        <v>0</v>
      </c>
      <c r="D12" s="29" t="s">
        <v>3</v>
      </c>
      <c r="E12" s="28">
        <f>-E11*'Fane 5. Individuelt eff. krav'!G10</f>
        <v>0</v>
      </c>
      <c r="F12" s="29" t="s">
        <v>3</v>
      </c>
      <c r="G12" s="1"/>
    </row>
    <row r="13" spans="1:7" x14ac:dyDescent="0.25">
      <c r="A13" s="1"/>
      <c r="B13" s="27" t="s">
        <v>104</v>
      </c>
      <c r="C13" s="28">
        <f>-C11*'Fane 12. Nøgletal'!C29</f>
        <v>0</v>
      </c>
      <c r="D13" s="29" t="s">
        <v>3</v>
      </c>
      <c r="E13" s="28">
        <f>-E11*'Fane 12. Nøgletal'!C24</f>
        <v>0</v>
      </c>
      <c r="F13" s="29" t="s">
        <v>3</v>
      </c>
      <c r="G13" s="1"/>
    </row>
    <row r="14" spans="1:7" x14ac:dyDescent="0.25">
      <c r="A14" s="1"/>
      <c r="B14" s="50" t="s">
        <v>137</v>
      </c>
      <c r="C14" s="12">
        <f>SUM(C11:C13)*(1+'Fane 12. Nøgletal'!C14)^2</f>
        <v>0</v>
      </c>
      <c r="D14" s="13" t="s">
        <v>3</v>
      </c>
      <c r="E14" s="12">
        <f>SUM(E11:E13)*(1+'Fane 12. Nøgletal'!C14)^2</f>
        <v>0</v>
      </c>
      <c r="F14" s="13" t="s">
        <v>3</v>
      </c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14" t="s">
        <v>103</v>
      </c>
      <c r="C16" s="115"/>
      <c r="D16" s="115"/>
      <c r="E16" s="115"/>
      <c r="F16" s="116"/>
      <c r="G16" s="1"/>
    </row>
    <row r="17" spans="1:7" x14ac:dyDescent="0.25">
      <c r="A17" s="1"/>
      <c r="B17" s="48" t="s">
        <v>16</v>
      </c>
      <c r="C17" s="48" t="s">
        <v>11</v>
      </c>
      <c r="D17" s="49"/>
      <c r="E17" s="48" t="s">
        <v>32</v>
      </c>
      <c r="F17" s="53"/>
      <c r="G17" s="1"/>
    </row>
    <row r="18" spans="1:7" x14ac:dyDescent="0.25">
      <c r="A18" s="1"/>
      <c r="B18" s="25" t="s">
        <v>253</v>
      </c>
      <c r="C18" s="22">
        <v>0</v>
      </c>
      <c r="D18" s="14" t="s">
        <v>3</v>
      </c>
      <c r="E18" s="9">
        <v>0</v>
      </c>
      <c r="F18" s="14" t="s">
        <v>3</v>
      </c>
      <c r="G18" s="1"/>
    </row>
    <row r="19" spans="1:7" x14ac:dyDescent="0.25">
      <c r="A19" s="1"/>
      <c r="B19" s="50" t="s">
        <v>210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25">
      <c r="A20" s="1"/>
      <c r="B20" s="27" t="s">
        <v>9</v>
      </c>
      <c r="C20" s="28">
        <f>-C19*'Fane 5. Individuelt eff. krav'!G10</f>
        <v>0</v>
      </c>
      <c r="D20" s="29" t="s">
        <v>3</v>
      </c>
      <c r="E20" s="28">
        <f>-E19*'Fane 5. Individuelt eff. krav'!G10</f>
        <v>0</v>
      </c>
      <c r="F20" s="29" t="s">
        <v>3</v>
      </c>
      <c r="G20" s="1"/>
    </row>
    <row r="21" spans="1:7" x14ac:dyDescent="0.25">
      <c r="A21" s="1"/>
      <c r="B21" s="27" t="s">
        <v>104</v>
      </c>
      <c r="C21" s="28">
        <f>-C19*'Fane 12. Nøgletal'!C29</f>
        <v>0</v>
      </c>
      <c r="D21" s="29" t="s">
        <v>3</v>
      </c>
      <c r="E21" s="28">
        <f>-E19*'Fane 12. Nøgletal'!C24</f>
        <v>0</v>
      </c>
      <c r="F21" s="29" t="s">
        <v>3</v>
      </c>
      <c r="G21" s="1"/>
    </row>
    <row r="22" spans="1:7" x14ac:dyDescent="0.25">
      <c r="A22" s="1"/>
      <c r="B22" s="50" t="s">
        <v>144</v>
      </c>
      <c r="C22" s="12">
        <f>SUM(C19:C21)*(1+'Fane 12. Nøgletal'!C14)^3</f>
        <v>0</v>
      </c>
      <c r="D22" s="13" t="s">
        <v>3</v>
      </c>
      <c r="E22" s="12">
        <f>SUM(E19:E21)*(1+'Fane 12. Nøgletal'!C14)^3</f>
        <v>0</v>
      </c>
      <c r="F22" s="13" t="s">
        <v>3</v>
      </c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14" t="s">
        <v>138</v>
      </c>
      <c r="C24" s="115"/>
      <c r="D24" s="115"/>
      <c r="E24" s="115"/>
      <c r="F24" s="116"/>
      <c r="G24" s="1"/>
    </row>
    <row r="25" spans="1:7" x14ac:dyDescent="0.25">
      <c r="A25" s="1"/>
      <c r="B25" s="48" t="s">
        <v>16</v>
      </c>
      <c r="C25" s="48" t="s">
        <v>11</v>
      </c>
      <c r="D25" s="49"/>
      <c r="E25" s="48" t="s">
        <v>32</v>
      </c>
      <c r="F25" s="53"/>
      <c r="G25" s="1"/>
    </row>
    <row r="26" spans="1:7" x14ac:dyDescent="0.25">
      <c r="A26" s="1"/>
      <c r="B26" s="25" t="s">
        <v>253</v>
      </c>
      <c r="C26" s="22">
        <v>0</v>
      </c>
      <c r="D26" s="14" t="s">
        <v>3</v>
      </c>
      <c r="E26" s="9">
        <v>0</v>
      </c>
      <c r="F26" s="14" t="s">
        <v>3</v>
      </c>
      <c r="G26" s="1"/>
    </row>
    <row r="27" spans="1:7" x14ac:dyDescent="0.25">
      <c r="A27" s="1"/>
      <c r="B27" s="50" t="s">
        <v>210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25">
      <c r="A28" s="1"/>
      <c r="B28" s="27" t="s">
        <v>9</v>
      </c>
      <c r="C28" s="28">
        <f>-C27*'Fane 5. Individuelt eff. krav'!G10</f>
        <v>0</v>
      </c>
      <c r="D28" s="29" t="s">
        <v>3</v>
      </c>
      <c r="E28" s="28">
        <f>-E27*'Fane 5. Individuelt eff. krav'!G10</f>
        <v>0</v>
      </c>
      <c r="F28" s="29" t="s">
        <v>3</v>
      </c>
      <c r="G28" s="1"/>
    </row>
    <row r="29" spans="1:7" x14ac:dyDescent="0.25">
      <c r="A29" s="1"/>
      <c r="B29" s="27" t="s">
        <v>104</v>
      </c>
      <c r="C29" s="28">
        <f>-C27*'Fane 12. Nøgletal'!C29</f>
        <v>0</v>
      </c>
      <c r="D29" s="29" t="s">
        <v>3</v>
      </c>
      <c r="E29" s="28">
        <f>-E27*'Fane 12. Nøgletal'!C24</f>
        <v>0</v>
      </c>
      <c r="F29" s="29" t="s">
        <v>3</v>
      </c>
      <c r="G29" s="1"/>
    </row>
    <row r="30" spans="1:7" x14ac:dyDescent="0.25">
      <c r="A30" s="1"/>
      <c r="B30" s="50" t="s">
        <v>145</v>
      </c>
      <c r="C30" s="12">
        <f>SUM(C27:C29)*(1+'Fane 12. Nøgletal'!C14)^4</f>
        <v>0</v>
      </c>
      <c r="D30" s="13" t="s">
        <v>3</v>
      </c>
      <c r="E30" s="12">
        <f>SUM(E27:E29)*(1+'Fane 12. Nøgletal'!C14)^4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14" t="s">
        <v>211</v>
      </c>
      <c r="C32" s="115"/>
      <c r="D32" s="115"/>
      <c r="E32" s="115"/>
      <c r="F32" s="116"/>
      <c r="G32" s="1"/>
    </row>
    <row r="33" spans="1:7" x14ac:dyDescent="0.25">
      <c r="A33" s="1"/>
      <c r="B33" s="48" t="s">
        <v>16</v>
      </c>
      <c r="C33" s="48" t="s">
        <v>11</v>
      </c>
      <c r="D33" s="49"/>
      <c r="E33" s="48" t="s">
        <v>32</v>
      </c>
      <c r="F33" s="53"/>
      <c r="G33" s="1"/>
    </row>
    <row r="34" spans="1:7" x14ac:dyDescent="0.25">
      <c r="A34" s="1"/>
      <c r="B34" s="25" t="s">
        <v>253</v>
      </c>
      <c r="C34" s="22">
        <v>0</v>
      </c>
      <c r="D34" s="14" t="s">
        <v>3</v>
      </c>
      <c r="E34" s="9">
        <v>0</v>
      </c>
      <c r="F34" s="14" t="s">
        <v>3</v>
      </c>
      <c r="G34" s="1"/>
    </row>
    <row r="35" spans="1:7" x14ac:dyDescent="0.25">
      <c r="A35" s="1"/>
      <c r="B35" s="50" t="s">
        <v>210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25">
      <c r="A36" s="1"/>
      <c r="B36" s="27" t="s">
        <v>9</v>
      </c>
      <c r="C36" s="28">
        <f>-C35*'Fane 5. Individuelt eff. krav'!G10</f>
        <v>0</v>
      </c>
      <c r="D36" s="29" t="s">
        <v>3</v>
      </c>
      <c r="E36" s="28">
        <f>-E35*'Fane 5. Individuelt eff. krav'!G10</f>
        <v>0</v>
      </c>
      <c r="F36" s="29" t="s">
        <v>3</v>
      </c>
      <c r="G36" s="1"/>
    </row>
    <row r="37" spans="1:7" x14ac:dyDescent="0.25">
      <c r="A37" s="1"/>
      <c r="B37" s="27" t="s">
        <v>104</v>
      </c>
      <c r="C37" s="28">
        <f>-C35*'Fane 12. Nøgletal'!C29</f>
        <v>0</v>
      </c>
      <c r="D37" s="29" t="s">
        <v>3</v>
      </c>
      <c r="E37" s="28">
        <f>-E35*'Fane 12. Nøgletal'!C24</f>
        <v>0</v>
      </c>
      <c r="F37" s="29" t="s">
        <v>3</v>
      </c>
      <c r="G37" s="1"/>
    </row>
    <row r="38" spans="1:7" x14ac:dyDescent="0.25">
      <c r="A38" s="1"/>
      <c r="B38" s="50" t="s">
        <v>212</v>
      </c>
      <c r="C38" s="12">
        <f>SUM(C35:C37)*(1+'Fane 12. Nøgletal'!C14)^5</f>
        <v>0</v>
      </c>
      <c r="D38" s="13" t="s">
        <v>3</v>
      </c>
      <c r="E38" s="12">
        <f>SUM(E35:E37)*(1+'Fane 12. Nøgletal'!C14)^5</f>
        <v>0</v>
      </c>
      <c r="F38" s="13" t="s">
        <v>3</v>
      </c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dQuzfdtKWEhalfUGAoCTUAyd0W6J5Ub1onfx5Rek8EkHy8eQ+0A53HYP8b5nr1o8aocYyYWcGACfXlcnHrMKIA==" saltValue="4aG4gKXYa/+s26s5I1u+LA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5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41.140625" style="2" bestFit="1" customWidth="1"/>
    <col min="3" max="3" width="13.85546875" style="2" customWidth="1"/>
    <col min="4" max="4" width="3.28515625" style="2" customWidth="1"/>
    <col min="5" max="5" width="14.57031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107" t="s">
        <v>166</v>
      </c>
      <c r="C3" s="107"/>
      <c r="D3" s="107"/>
      <c r="E3" s="107"/>
      <c r="F3" s="107"/>
      <c r="G3" s="1"/>
    </row>
    <row r="4" spans="1:7" ht="25.5" customHeight="1" x14ac:dyDescent="0.25">
      <c r="A4" s="1"/>
      <c r="B4" s="107"/>
      <c r="C4" s="107"/>
      <c r="D4" s="107"/>
      <c r="E4" s="107"/>
      <c r="F4" s="107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14" t="s">
        <v>130</v>
      </c>
      <c r="C8" s="115"/>
      <c r="D8" s="115"/>
      <c r="E8" s="115"/>
      <c r="F8" s="116"/>
      <c r="G8" s="1"/>
    </row>
    <row r="9" spans="1:7" ht="15" customHeight="1" x14ac:dyDescent="0.25">
      <c r="A9" s="1"/>
      <c r="B9" s="52" t="s">
        <v>131</v>
      </c>
      <c r="C9" s="99" t="s">
        <v>11</v>
      </c>
      <c r="D9" s="101"/>
      <c r="E9" s="99" t="s">
        <v>32</v>
      </c>
      <c r="F9" s="101"/>
      <c r="G9" s="1"/>
    </row>
    <row r="10" spans="1:7" x14ac:dyDescent="0.25">
      <c r="A10" s="1"/>
      <c r="B10" s="25" t="s">
        <v>226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25">
      <c r="A11" s="1"/>
      <c r="B11" s="21" t="s">
        <v>139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25">
      <c r="A12" s="1"/>
      <c r="B12" s="21" t="s">
        <v>213</v>
      </c>
      <c r="C12" s="12">
        <f>C11*(1+'Fane 12. Nøgletal'!C14)</f>
        <v>0</v>
      </c>
      <c r="D12" s="13" t="s">
        <v>3</v>
      </c>
      <c r="E12" s="12">
        <f>E11*(1+'Fane 12. Nøgletal'!C14)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</sheetData>
  <sheetProtection algorithmName="SHA-512" hashValue="6HXtIgX6ccILRKyIE+wWGtSBOauRb/wmKSEq7QuTAKZMG131q3Ze7//V0oGWxuwyW5JCvXQvIEJaomxIo2kWGQ==" saltValue="Xbgl4VR2+Hb2/5aH7OeJHg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107" t="s">
        <v>165</v>
      </c>
      <c r="C3" s="107"/>
      <c r="D3" s="107"/>
      <c r="E3" s="107"/>
      <c r="F3" s="107"/>
      <c r="G3" s="1"/>
    </row>
    <row r="4" spans="1:7" ht="25.5" customHeight="1" x14ac:dyDescent="0.25">
      <c r="A4" s="1"/>
      <c r="B4" s="107"/>
      <c r="C4" s="107"/>
      <c r="D4" s="107"/>
      <c r="E4" s="107"/>
      <c r="F4" s="107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14" t="s">
        <v>98</v>
      </c>
      <c r="C8" s="115"/>
      <c r="D8" s="115"/>
      <c r="E8" s="115"/>
      <c r="F8" s="116"/>
      <c r="G8" s="1"/>
    </row>
    <row r="9" spans="1:7" ht="15" customHeight="1" x14ac:dyDescent="0.25">
      <c r="A9" s="1"/>
      <c r="B9" s="52" t="s">
        <v>17</v>
      </c>
      <c r="C9" s="52" t="s">
        <v>11</v>
      </c>
      <c r="D9" s="53"/>
      <c r="E9" s="52" t="s">
        <v>32</v>
      </c>
      <c r="F9" s="53"/>
      <c r="G9" s="1"/>
    </row>
    <row r="10" spans="1:7" x14ac:dyDescent="0.25">
      <c r="A10" s="1"/>
      <c r="B10" s="25" t="s">
        <v>231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50" t="s">
        <v>93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50" t="s">
        <v>94</v>
      </c>
      <c r="C12" s="12">
        <f>C11*(1+'Fane 12. Nøgletal'!C14)</f>
        <v>0</v>
      </c>
      <c r="D12" s="13" t="s">
        <v>3</v>
      </c>
      <c r="E12" s="12">
        <f>E11*(1+'Fane 12. Nøgletal'!C14)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14" t="s">
        <v>99</v>
      </c>
      <c r="C15" s="115"/>
      <c r="D15" s="115"/>
      <c r="E15" s="115"/>
      <c r="F15" s="116"/>
      <c r="G15" s="1"/>
    </row>
    <row r="16" spans="1:7" ht="26.25" x14ac:dyDescent="0.25">
      <c r="A16" s="1"/>
      <c r="B16" s="52" t="s">
        <v>17</v>
      </c>
      <c r="C16" s="52" t="s">
        <v>11</v>
      </c>
      <c r="D16" s="53"/>
      <c r="E16" s="52" t="s">
        <v>32</v>
      </c>
      <c r="F16" s="53"/>
      <c r="G16" s="1"/>
    </row>
    <row r="17" spans="1:7" x14ac:dyDescent="0.25">
      <c r="A17" s="1"/>
      <c r="B17" s="25" t="s">
        <v>231</v>
      </c>
      <c r="C17" s="9">
        <v>0</v>
      </c>
      <c r="D17" s="14" t="s">
        <v>3</v>
      </c>
      <c r="E17" s="9">
        <v>0</v>
      </c>
      <c r="F17" s="14" t="s">
        <v>3</v>
      </c>
      <c r="G17" s="1"/>
    </row>
    <row r="18" spans="1:7" x14ac:dyDescent="0.25">
      <c r="A18" s="1"/>
      <c r="B18" s="50" t="s">
        <v>93</v>
      </c>
      <c r="C18" s="12">
        <f>SUM(C17:C17)</f>
        <v>0</v>
      </c>
      <c r="D18" s="13" t="s">
        <v>3</v>
      </c>
      <c r="E18" s="12">
        <f>SUM(E17:E17)</f>
        <v>0</v>
      </c>
      <c r="F18" s="13" t="s">
        <v>3</v>
      </c>
      <c r="G18" s="1"/>
    </row>
    <row r="19" spans="1:7" x14ac:dyDescent="0.25">
      <c r="A19" s="1"/>
      <c r="B19" s="50" t="s">
        <v>95</v>
      </c>
      <c r="C19" s="12">
        <f>C18*(1+'Fane 12. Nøgletal'!C14)^2</f>
        <v>0</v>
      </c>
      <c r="D19" s="13" t="s">
        <v>3</v>
      </c>
      <c r="E19" s="12">
        <f>E18*(1+'Fane 12. Nøgletal'!C14)^2</f>
        <v>0</v>
      </c>
      <c r="F19" s="13" t="s">
        <v>3</v>
      </c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14" t="s">
        <v>142</v>
      </c>
      <c r="C22" s="115"/>
      <c r="D22" s="115"/>
      <c r="E22" s="115"/>
      <c r="F22" s="116"/>
      <c r="G22" s="1"/>
    </row>
    <row r="23" spans="1:7" ht="26.25" x14ac:dyDescent="0.25">
      <c r="A23" s="1"/>
      <c r="B23" s="52" t="s">
        <v>17</v>
      </c>
      <c r="C23" s="52" t="s">
        <v>11</v>
      </c>
      <c r="D23" s="53"/>
      <c r="E23" s="52" t="s">
        <v>32</v>
      </c>
      <c r="F23" s="53"/>
      <c r="G23" s="1"/>
    </row>
    <row r="24" spans="1:7" x14ac:dyDescent="0.25">
      <c r="A24" s="1"/>
      <c r="B24" s="25" t="s">
        <v>231</v>
      </c>
      <c r="C24" s="9">
        <v>0</v>
      </c>
      <c r="D24" s="14" t="s">
        <v>3</v>
      </c>
      <c r="E24" s="9">
        <v>0</v>
      </c>
      <c r="F24" s="14" t="s">
        <v>3</v>
      </c>
      <c r="G24" s="1"/>
    </row>
    <row r="25" spans="1:7" x14ac:dyDescent="0.25">
      <c r="A25" s="1"/>
      <c r="B25" s="50" t="s">
        <v>93</v>
      </c>
      <c r="C25" s="12">
        <f>SUM(C24:C24)</f>
        <v>0</v>
      </c>
      <c r="D25" s="13" t="s">
        <v>3</v>
      </c>
      <c r="E25" s="12">
        <f>SUM(E24:E24)</f>
        <v>0</v>
      </c>
      <c r="F25" s="13" t="s">
        <v>3</v>
      </c>
      <c r="G25" s="1"/>
    </row>
    <row r="26" spans="1:7" x14ac:dyDescent="0.25">
      <c r="A26" s="1"/>
      <c r="B26" s="50" t="s">
        <v>143</v>
      </c>
      <c r="C26" s="12">
        <f>C25*(1+'Fane 12. Nøgletal'!C14)^3</f>
        <v>0</v>
      </c>
      <c r="D26" s="13" t="s">
        <v>3</v>
      </c>
      <c r="E26" s="12">
        <f>E25*(1+'Fane 12. Nøgletal'!C14)^3</f>
        <v>0</v>
      </c>
      <c r="F26" s="13" t="s">
        <v>3</v>
      </c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14" t="s">
        <v>214</v>
      </c>
      <c r="C29" s="115"/>
      <c r="D29" s="115"/>
      <c r="E29" s="115"/>
      <c r="F29" s="116"/>
      <c r="G29" s="1"/>
    </row>
    <row r="30" spans="1:7" ht="26.25" x14ac:dyDescent="0.25">
      <c r="A30" s="1"/>
      <c r="B30" s="52" t="s">
        <v>17</v>
      </c>
      <c r="C30" s="52" t="s">
        <v>11</v>
      </c>
      <c r="D30" s="53"/>
      <c r="E30" s="52" t="s">
        <v>32</v>
      </c>
      <c r="F30" s="53"/>
      <c r="G30" s="1"/>
    </row>
    <row r="31" spans="1:7" x14ac:dyDescent="0.25">
      <c r="A31" s="1"/>
      <c r="B31" s="25" t="s">
        <v>231</v>
      </c>
      <c r="C31" s="9">
        <v>0</v>
      </c>
      <c r="D31" s="14" t="s">
        <v>3</v>
      </c>
      <c r="E31" s="9">
        <v>0</v>
      </c>
      <c r="F31" s="14" t="s">
        <v>3</v>
      </c>
      <c r="G31" s="1"/>
    </row>
    <row r="32" spans="1:7" x14ac:dyDescent="0.25">
      <c r="A32" s="1"/>
      <c r="B32" s="50" t="s">
        <v>93</v>
      </c>
      <c r="C32" s="12">
        <f>SUM(C31:C31)</f>
        <v>0</v>
      </c>
      <c r="D32" s="13" t="s">
        <v>3</v>
      </c>
      <c r="E32" s="12">
        <f>SUM(E31:E31)</f>
        <v>0</v>
      </c>
      <c r="F32" s="13" t="s">
        <v>3</v>
      </c>
      <c r="G32" s="1"/>
    </row>
    <row r="33" spans="1:7" x14ac:dyDescent="0.25">
      <c r="A33" s="1"/>
      <c r="B33" s="50" t="s">
        <v>215</v>
      </c>
      <c r="C33" s="12">
        <f>C32*(1+'Fane 12. Nøgletal'!C14)^4</f>
        <v>0</v>
      </c>
      <c r="D33" s="13" t="s">
        <v>3</v>
      </c>
      <c r="E33" s="12">
        <f>E32*(1+'Fane 12. Nøgletal'!C14)^4</f>
        <v>0</v>
      </c>
      <c r="F33" s="13" t="s">
        <v>3</v>
      </c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EY+c85WAhzlHQW0Qf7Bew5b6ilvlnvdW9jOeByQQ1lD+4G+tzVCmS5N6LGh1gyNFT+srxSs31vCEwawFql2amA==" saltValue="q/Yn61dQNYMO2rqoGpubew==" spinCount="100000" sheet="1" objects="1" scenarios="1"/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D51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6.14062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107" t="s">
        <v>164</v>
      </c>
      <c r="C3" s="107"/>
      <c r="D3" s="1"/>
    </row>
    <row r="4" spans="1:4" ht="25.5" customHeight="1" x14ac:dyDescent="0.25">
      <c r="A4" s="1"/>
      <c r="B4" s="107"/>
      <c r="C4" s="107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50" t="s">
        <v>14</v>
      </c>
      <c r="C8" s="20"/>
      <c r="D8" s="1"/>
    </row>
    <row r="9" spans="1:4" x14ac:dyDescent="0.25">
      <c r="A9" s="1"/>
      <c r="B9" s="62" t="s">
        <v>118</v>
      </c>
      <c r="C9" s="26">
        <v>1.2699999999999999E-2</v>
      </c>
      <c r="D9" s="1"/>
    </row>
    <row r="10" spans="1:4" x14ac:dyDescent="0.25">
      <c r="A10" s="1"/>
      <c r="B10" s="62" t="s">
        <v>22</v>
      </c>
      <c r="C10" s="26">
        <v>1.7500000000000002E-2</v>
      </c>
      <c r="D10" s="1"/>
    </row>
    <row r="11" spans="1:4" x14ac:dyDescent="0.25">
      <c r="A11" s="1"/>
      <c r="B11" s="62" t="s">
        <v>119</v>
      </c>
      <c r="C11" s="26">
        <v>1.6899999999999998E-2</v>
      </c>
      <c r="D11" s="1"/>
    </row>
    <row r="12" spans="1:4" x14ac:dyDescent="0.25">
      <c r="A12" s="1"/>
      <c r="B12" s="33" t="s">
        <v>42</v>
      </c>
      <c r="C12" s="34">
        <v>1.9699999999999999E-2</v>
      </c>
      <c r="D12" s="1"/>
    </row>
    <row r="13" spans="1:4" x14ac:dyDescent="0.25">
      <c r="A13" s="1"/>
      <c r="B13" s="33" t="s">
        <v>140</v>
      </c>
      <c r="C13" s="34">
        <v>1.2200000000000001E-2</v>
      </c>
      <c r="D13" s="1"/>
    </row>
    <row r="14" spans="1:4" x14ac:dyDescent="0.25">
      <c r="A14" s="1"/>
      <c r="B14" s="33" t="s">
        <v>216</v>
      </c>
      <c r="C14" s="69">
        <v>3.3E-3</v>
      </c>
      <c r="D14" s="1"/>
    </row>
    <row r="15" spans="1:4" x14ac:dyDescent="0.25">
      <c r="A15" s="1"/>
      <c r="B15" s="114"/>
      <c r="C15" s="116"/>
      <c r="D15" s="1"/>
    </row>
    <row r="16" spans="1:4" x14ac:dyDescent="0.25">
      <c r="A16" s="1"/>
      <c r="B16" s="1"/>
      <c r="C16" s="1"/>
      <c r="D16" s="1"/>
    </row>
    <row r="17" spans="1:4" x14ac:dyDescent="0.25">
      <c r="A17" s="1"/>
      <c r="B17" s="1"/>
      <c r="C17" s="1"/>
      <c r="D17" s="1"/>
    </row>
    <row r="18" spans="1:4" x14ac:dyDescent="0.25">
      <c r="A18" s="1"/>
      <c r="B18" s="50" t="s">
        <v>106</v>
      </c>
      <c r="C18" s="20"/>
      <c r="D18" s="1"/>
    </row>
    <row r="19" spans="1:4" x14ac:dyDescent="0.25">
      <c r="A19" s="1"/>
      <c r="B19" s="62" t="s">
        <v>120</v>
      </c>
      <c r="C19" s="23">
        <v>9.1000000000000004E-3</v>
      </c>
      <c r="D19" s="1"/>
    </row>
    <row r="20" spans="1:4" x14ac:dyDescent="0.25">
      <c r="A20" s="1"/>
      <c r="B20" s="62" t="s">
        <v>121</v>
      </c>
      <c r="C20" s="23">
        <v>1.77E-2</v>
      </c>
      <c r="D20" s="1"/>
    </row>
    <row r="21" spans="1:4" x14ac:dyDescent="0.25">
      <c r="A21" s="1"/>
      <c r="B21" s="62" t="s">
        <v>122</v>
      </c>
      <c r="C21" s="23">
        <v>8.6999999999999994E-3</v>
      </c>
      <c r="D21" s="1"/>
    </row>
    <row r="22" spans="1:4" x14ac:dyDescent="0.25">
      <c r="A22" s="1"/>
      <c r="B22" s="62" t="s">
        <v>123</v>
      </c>
      <c r="C22" s="35">
        <v>2.8400000000000002E-2</v>
      </c>
      <c r="D22" s="1"/>
    </row>
    <row r="23" spans="1:4" x14ac:dyDescent="0.25">
      <c r="A23" s="1"/>
      <c r="B23" s="62" t="s">
        <v>146</v>
      </c>
      <c r="C23" s="35">
        <v>2.75E-2</v>
      </c>
      <c r="D23" s="1"/>
    </row>
    <row r="24" spans="1:4" x14ac:dyDescent="0.25">
      <c r="A24" s="1"/>
      <c r="B24" s="62" t="s">
        <v>217</v>
      </c>
      <c r="C24" s="35">
        <v>1.4800000000000001E-2</v>
      </c>
      <c r="D24" s="1"/>
    </row>
    <row r="25" spans="1:4" x14ac:dyDescent="0.25">
      <c r="A25" s="1"/>
      <c r="B25" s="50"/>
      <c r="C25" s="20"/>
      <c r="D25" s="1"/>
    </row>
    <row r="26" spans="1:4" x14ac:dyDescent="0.25">
      <c r="A26" s="1"/>
      <c r="B26" s="1"/>
      <c r="C26" s="1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50" t="s">
        <v>107</v>
      </c>
      <c r="C28" s="20"/>
      <c r="D28" s="1"/>
    </row>
    <row r="29" spans="1:4" x14ac:dyDescent="0.25">
      <c r="A29" s="1"/>
      <c r="B29" s="62" t="s">
        <v>124</v>
      </c>
      <c r="C29" s="26">
        <v>0.02</v>
      </c>
      <c r="D29" s="1"/>
    </row>
    <row r="30" spans="1:4" x14ac:dyDescent="0.25">
      <c r="A30" s="1"/>
      <c r="B30" s="50"/>
      <c r="C30" s="20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  <row r="50" spans="1:4" x14ac:dyDescent="0.25">
      <c r="A50" s="1"/>
      <c r="B50" s="1"/>
      <c r="C50" s="1"/>
      <c r="D50" s="1"/>
    </row>
    <row r="51" spans="1:4" x14ac:dyDescent="0.25">
      <c r="A51" s="1"/>
      <c r="B51" s="1"/>
      <c r="C51" s="1"/>
      <c r="D51" s="1"/>
    </row>
  </sheetData>
  <sheetProtection algorithmName="SHA-512" hashValue="gePBdVcMXjdvElql3W/NoKyvDn4ZubqxsDgDhISXb+ny+NmZa2gc7GHridNuLMEDJLtyg7KdYIcUkxZAOae9dQ==" saltValue="tMU6vvrrY8ElVDxYi/MqAg==" spinCount="100000" sheet="1" objects="1" scenarios="1"/>
  <mergeCells count="2">
    <mergeCell ref="B3:C4"/>
    <mergeCell ref="B15:C15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46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56.7109375" style="2" customWidth="1"/>
    <col min="3" max="3" width="12.7109375" style="2" bestFit="1" customWidth="1"/>
    <col min="4" max="4" width="3.85546875" style="2" customWidth="1"/>
    <col min="5" max="5" width="6.28515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8" t="s">
        <v>183</v>
      </c>
      <c r="C3" s="88"/>
      <c r="D3" s="88"/>
      <c r="E3" s="1"/>
    </row>
    <row r="4" spans="1:5" ht="15" customHeight="1" x14ac:dyDescent="0.25">
      <c r="A4" s="1"/>
      <c r="B4" s="88"/>
      <c r="C4" s="88"/>
      <c r="D4" s="88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50" t="s">
        <v>13</v>
      </c>
      <c r="C8" s="51"/>
      <c r="D8" s="20"/>
      <c r="E8" s="1"/>
    </row>
    <row r="9" spans="1:5" x14ac:dyDescent="0.25">
      <c r="A9" s="1"/>
      <c r="B9" s="55" t="s">
        <v>24</v>
      </c>
      <c r="C9" s="7">
        <f>'Fane 3. Omkostninger i ØR2021'!E20</f>
        <v>19256211.411318742</v>
      </c>
      <c r="D9" s="8" t="s">
        <v>3</v>
      </c>
      <c r="E9" s="1"/>
    </row>
    <row r="10" spans="1:5" x14ac:dyDescent="0.25">
      <c r="A10" s="1"/>
      <c r="B10" s="46" t="s">
        <v>218</v>
      </c>
      <c r="C10" s="7">
        <f>(SUM('Fane 3. Omkostninger i ØR2021'!E10,'Fane 3. Omkostninger i ØR2021'!E12,'Fane 3. Omkostninger i ØR2021'!E14)*(1+'Fane 12. Nøgletal'!C13)*(1-'Fane 12. Nøgletal'!C29-'Fane 5. Individuelt eff. krav'!G10))</f>
        <v>7932.8199309880765</v>
      </c>
      <c r="D10" s="8" t="s">
        <v>3</v>
      </c>
      <c r="E10" s="1"/>
    </row>
    <row r="11" spans="1:5" x14ac:dyDescent="0.25">
      <c r="A11" s="1"/>
      <c r="B11" s="46" t="s">
        <v>219</v>
      </c>
      <c r="C11" s="7">
        <f>(SUM('Fane 3. Omkostninger i ØR2021'!E11,'Fane 3. Omkostninger i ØR2021'!E13,'Fane 3. Omkostninger i ØR2021'!E15)*(1+'Fane 12. Nøgletal'!C13)*(1-'Fane 12. Nøgletal'!C23-'Fane 5. Individuelt eff. krav'!G10))</f>
        <v>3488.8635005079368</v>
      </c>
      <c r="D11" s="8" t="s">
        <v>3</v>
      </c>
      <c r="E11" s="1"/>
    </row>
    <row r="12" spans="1:5" ht="17.100000000000001" customHeight="1" x14ac:dyDescent="0.25">
      <c r="A12" s="1"/>
      <c r="B12" s="30" t="s">
        <v>40</v>
      </c>
      <c r="C12" s="7">
        <f>'Fane 9.1. Varige tillæg'!C14</f>
        <v>117278.74690000001</v>
      </c>
      <c r="D12" s="8" t="s">
        <v>3</v>
      </c>
      <c r="E12" s="1"/>
    </row>
    <row r="13" spans="1:5" ht="17.100000000000001" customHeight="1" x14ac:dyDescent="0.25">
      <c r="A13" s="1"/>
      <c r="B13" s="30" t="s">
        <v>41</v>
      </c>
      <c r="C13" s="9">
        <f>'Fane 9.1. Varige tillæg'!E14</f>
        <v>351712.83480000001</v>
      </c>
      <c r="D13" s="8" t="s">
        <v>3</v>
      </c>
      <c r="E13" s="1"/>
    </row>
    <row r="14" spans="1:5" ht="17.100000000000001" customHeight="1" x14ac:dyDescent="0.25">
      <c r="A14" s="1"/>
      <c r="B14" s="30" t="s">
        <v>28</v>
      </c>
      <c r="C14" s="9">
        <f>-'Fane 11. Bortfald'!C12</f>
        <v>0</v>
      </c>
      <c r="D14" s="8" t="s">
        <v>3</v>
      </c>
      <c r="E14" s="1"/>
    </row>
    <row r="15" spans="1:5" ht="17.100000000000001" customHeight="1" x14ac:dyDescent="0.25">
      <c r="A15" s="1"/>
      <c r="B15" s="30" t="s">
        <v>27</v>
      </c>
      <c r="C15" s="9">
        <f>-'Fane 11. Bortfald'!E12</f>
        <v>0</v>
      </c>
      <c r="D15" s="8" t="s">
        <v>3</v>
      </c>
      <c r="E15" s="1"/>
    </row>
    <row r="16" spans="1:5" ht="17.100000000000001" customHeight="1" x14ac:dyDescent="0.25">
      <c r="A16" s="1"/>
      <c r="B16" s="30" t="s">
        <v>132</v>
      </c>
      <c r="C16" s="9">
        <f>'Fane 10. Tilknyttet virksomhed'!C12</f>
        <v>0</v>
      </c>
      <c r="D16" s="8" t="s">
        <v>3</v>
      </c>
      <c r="E16" s="1"/>
    </row>
    <row r="17" spans="1:5" ht="17.100000000000001" customHeight="1" x14ac:dyDescent="0.25">
      <c r="A17" s="1"/>
      <c r="B17" s="30" t="s">
        <v>133</v>
      </c>
      <c r="C17" s="9">
        <f>'Fane 10. Tilknyttet virksomhed'!E12</f>
        <v>0</v>
      </c>
      <c r="D17" s="8" t="s">
        <v>3</v>
      </c>
      <c r="E17" s="1"/>
    </row>
    <row r="18" spans="1:5" ht="17.100000000000001" customHeight="1" x14ac:dyDescent="0.25">
      <c r="A18" s="1"/>
      <c r="B18" s="30" t="s">
        <v>18</v>
      </c>
      <c r="C18" s="9">
        <f>C9*'Fane 12. Nøgletal'!C13+SUM(C12:C17)*'Fane 12. Nøgletal'!C14</f>
        <v>236473.45143769865</v>
      </c>
      <c r="D18" s="8" t="s">
        <v>3</v>
      </c>
      <c r="E18" s="1"/>
    </row>
    <row r="19" spans="1:5" ht="17.100000000000001" customHeight="1" x14ac:dyDescent="0.25">
      <c r="A19" s="1"/>
      <c r="B19" s="30" t="s">
        <v>9</v>
      </c>
      <c r="C19" s="9">
        <f>-SUM(C9,C12:C18)*'Fane 5. Individuelt eff. krav'!G10</f>
        <v>-123609.91532872351</v>
      </c>
      <c r="D19" s="8" t="s">
        <v>3</v>
      </c>
      <c r="E19" s="1"/>
    </row>
    <row r="20" spans="1:5" ht="17.100000000000001" customHeight="1" x14ac:dyDescent="0.25">
      <c r="A20" s="1"/>
      <c r="B20" s="30" t="s">
        <v>25</v>
      </c>
      <c r="C20" s="9">
        <f>-'Fane 4.1. Gen. krav - drift'!G38</f>
        <v>-153242.32269447032</v>
      </c>
      <c r="D20" s="8" t="s">
        <v>3</v>
      </c>
      <c r="E20" s="1"/>
    </row>
    <row r="21" spans="1:5" ht="17.100000000000001" customHeight="1" x14ac:dyDescent="0.25">
      <c r="A21" s="1"/>
      <c r="B21" s="30" t="s">
        <v>26</v>
      </c>
      <c r="C21" s="9">
        <f>-'Fane 4.2. Gen. krav - anlæg'!G38</f>
        <v>-369538.83713013137</v>
      </c>
      <c r="D21" s="8" t="s">
        <v>3</v>
      </c>
      <c r="E21" s="1"/>
    </row>
    <row r="22" spans="1:5" ht="17.100000000000001" customHeight="1" x14ac:dyDescent="0.25">
      <c r="A22" s="1"/>
      <c r="B22" s="63" t="s">
        <v>20</v>
      </c>
      <c r="C22" s="10">
        <f>SUM(C9,C12:C21)</f>
        <v>19315285.369303115</v>
      </c>
      <c r="D22" s="11" t="s">
        <v>3</v>
      </c>
      <c r="E22" s="1"/>
    </row>
    <row r="23" spans="1:5" ht="15" customHeight="1" x14ac:dyDescent="0.25">
      <c r="A23" s="1"/>
      <c r="B23" s="50" t="s">
        <v>12</v>
      </c>
      <c r="C23" s="51"/>
      <c r="D23" s="20"/>
      <c r="E23" s="1"/>
    </row>
    <row r="24" spans="1:5" ht="15" customHeight="1" x14ac:dyDescent="0.25">
      <c r="A24" s="1"/>
      <c r="B24" s="52" t="s">
        <v>12</v>
      </c>
      <c r="C24" s="10">
        <f>'Fane 6. Ikke-påvirkelige omk.'!C15</f>
        <v>9381858.8864027653</v>
      </c>
      <c r="D24" s="11" t="s">
        <v>3</v>
      </c>
      <c r="E24" s="1"/>
    </row>
    <row r="25" spans="1:5" ht="15" customHeight="1" x14ac:dyDescent="0.25">
      <c r="A25" s="1"/>
      <c r="B25" s="50" t="s">
        <v>89</v>
      </c>
      <c r="C25" s="51"/>
      <c r="D25" s="20"/>
      <c r="E25" s="1"/>
    </row>
    <row r="26" spans="1:5" ht="15" customHeight="1" x14ac:dyDescent="0.25">
      <c r="A26" s="1"/>
      <c r="B26" s="30" t="s">
        <v>85</v>
      </c>
      <c r="C26" s="9">
        <f>'Fane 9.2. Engangstillæg'!C14</f>
        <v>0</v>
      </c>
      <c r="D26" s="8" t="s">
        <v>3</v>
      </c>
      <c r="E26" s="1"/>
    </row>
    <row r="27" spans="1:5" ht="15" customHeight="1" x14ac:dyDescent="0.25">
      <c r="A27" s="1"/>
      <c r="B27" s="30" t="s">
        <v>86</v>
      </c>
      <c r="C27" s="9">
        <f>'Fane 9.2. Engangstillæg'!E14</f>
        <v>0</v>
      </c>
      <c r="D27" s="8" t="s">
        <v>3</v>
      </c>
      <c r="E27" s="1"/>
    </row>
    <row r="28" spans="1:5" x14ac:dyDescent="0.25">
      <c r="A28" s="1"/>
      <c r="B28" s="63" t="s">
        <v>90</v>
      </c>
      <c r="C28" s="10">
        <f>SUM(C26:C27)</f>
        <v>0</v>
      </c>
      <c r="D28" s="11" t="s">
        <v>3</v>
      </c>
      <c r="E28" s="1"/>
    </row>
    <row r="29" spans="1:5" ht="15" customHeight="1" x14ac:dyDescent="0.25">
      <c r="A29" s="1"/>
      <c r="B29" s="36" t="s">
        <v>161</v>
      </c>
      <c r="C29" s="51"/>
      <c r="D29" s="20"/>
      <c r="E29" s="1"/>
    </row>
    <row r="30" spans="1:5" x14ac:dyDescent="0.25">
      <c r="A30" s="1"/>
      <c r="B30" s="66" t="s">
        <v>162</v>
      </c>
      <c r="C30" s="10">
        <f>'Fane 7. Kontrol af ØR2020'!E30</f>
        <v>0</v>
      </c>
      <c r="D30" s="11" t="s">
        <v>3</v>
      </c>
      <c r="E30" s="1"/>
    </row>
    <row r="31" spans="1:5" x14ac:dyDescent="0.25">
      <c r="A31" s="1"/>
      <c r="B31" s="36" t="s">
        <v>224</v>
      </c>
      <c r="C31" s="51"/>
      <c r="D31" s="20"/>
      <c r="E31" s="1"/>
    </row>
    <row r="32" spans="1:5" x14ac:dyDescent="0.25">
      <c r="A32" s="1"/>
      <c r="B32" s="66" t="s">
        <v>225</v>
      </c>
      <c r="C32" s="10">
        <v>0</v>
      </c>
      <c r="D32" s="11" t="s">
        <v>3</v>
      </c>
      <c r="E32" s="1"/>
    </row>
    <row r="33" spans="1:5" x14ac:dyDescent="0.25">
      <c r="A33" s="1"/>
      <c r="B33" s="50" t="s">
        <v>30</v>
      </c>
      <c r="C33" s="31">
        <f>SUM(C22,C24,C28,C30,C32)</f>
        <v>28697144.255705878</v>
      </c>
      <c r="D33" s="20" t="s">
        <v>3</v>
      </c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</sheetData>
  <sheetProtection algorithmName="SHA-512" hashValue="082/Pn4rqbbsaymmWhwV8V9n1C40ymBY2r5RClaQegNF7QMEqycCmsgjIJWYpsHWZZJg5UfjKNE8RKevW1LVGg==" saltValue="wCAilTVaQnJHrm5rU09SYA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46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42578125" style="2" customWidth="1"/>
    <col min="3" max="3" width="10.28515625" style="2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8" t="s">
        <v>184</v>
      </c>
      <c r="C3" s="88"/>
      <c r="D3" s="88"/>
      <c r="E3" s="1"/>
    </row>
    <row r="4" spans="1:5" ht="15" customHeight="1" x14ac:dyDescent="0.25">
      <c r="A4" s="1"/>
      <c r="B4" s="88"/>
      <c r="C4" s="88"/>
      <c r="D4" s="88"/>
      <c r="E4" s="1"/>
    </row>
    <row r="5" spans="1:5" x14ac:dyDescent="0.25">
      <c r="A5" s="1"/>
      <c r="B5" s="89" t="s">
        <v>21</v>
      </c>
      <c r="C5" s="89"/>
      <c r="D5" s="89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50" t="s">
        <v>13</v>
      </c>
      <c r="C7" s="51"/>
      <c r="D7" s="20"/>
      <c r="E7" s="1"/>
    </row>
    <row r="8" spans="1:5" ht="15" customHeight="1" x14ac:dyDescent="0.25">
      <c r="A8" s="1"/>
      <c r="B8" s="55" t="s">
        <v>134</v>
      </c>
      <c r="C8" s="7">
        <f>'Fane 2.1. Økonomisk ramme 2022'!C22</f>
        <v>19315285.369303115</v>
      </c>
      <c r="D8" s="8" t="s">
        <v>3</v>
      </c>
      <c r="E8" s="1"/>
    </row>
    <row r="9" spans="1:5" ht="15" customHeight="1" x14ac:dyDescent="0.25">
      <c r="A9" s="1"/>
      <c r="B9" s="30" t="s">
        <v>28</v>
      </c>
      <c r="C9" s="7">
        <f>-'Fane 11. Bortfald'!C19</f>
        <v>0</v>
      </c>
      <c r="D9" s="8" t="s">
        <v>3</v>
      </c>
      <c r="E9" s="1"/>
    </row>
    <row r="10" spans="1:5" ht="15" customHeight="1" x14ac:dyDescent="0.25">
      <c r="A10" s="1"/>
      <c r="B10" s="30" t="s">
        <v>27</v>
      </c>
      <c r="C10" s="7">
        <f>-'Fane 11. Bortfald'!E19</f>
        <v>0</v>
      </c>
      <c r="D10" s="8" t="s">
        <v>3</v>
      </c>
      <c r="E10" s="1"/>
    </row>
    <row r="11" spans="1:5" ht="15" customHeight="1" x14ac:dyDescent="0.25">
      <c r="A11" s="1"/>
      <c r="B11" s="46" t="s">
        <v>18</v>
      </c>
      <c r="C11" s="9">
        <f>SUM(C8:C10)*'Fane 12. Nøgletal'!C14</f>
        <v>63740.441718700276</v>
      </c>
      <c r="D11" s="8" t="s">
        <v>3</v>
      </c>
      <c r="E11" s="1"/>
    </row>
    <row r="12" spans="1:5" ht="15" customHeight="1" x14ac:dyDescent="0.25">
      <c r="A12" s="1"/>
      <c r="B12" s="46" t="s">
        <v>9</v>
      </c>
      <c r="C12" s="9">
        <f>-SUM(C8:C11)*'Fane 5. Individuelt eff. krav'!G10</f>
        <v>-120001.93201802908</v>
      </c>
      <c r="D12" s="8" t="s">
        <v>3</v>
      </c>
      <c r="E12" s="1"/>
    </row>
    <row r="13" spans="1:5" ht="15" customHeight="1" x14ac:dyDescent="0.25">
      <c r="A13" s="1"/>
      <c r="B13" s="46" t="s">
        <v>25</v>
      </c>
      <c r="C13" s="9">
        <f>-'Fane 4.1. Gen. krav - drift'!G44</f>
        <v>-150673.06191217486</v>
      </c>
      <c r="D13" s="8" t="s">
        <v>3</v>
      </c>
      <c r="E13" s="1"/>
    </row>
    <row r="14" spans="1:5" ht="15" customHeight="1" x14ac:dyDescent="0.25">
      <c r="A14" s="1"/>
      <c r="B14" s="46" t="s">
        <v>26</v>
      </c>
      <c r="C14" s="9">
        <f>-'Fane 4.2. Gen. krav - anlæg'!G44</f>
        <v>-196467.97850127352</v>
      </c>
      <c r="D14" s="8" t="s">
        <v>3</v>
      </c>
      <c r="E14" s="1"/>
    </row>
    <row r="15" spans="1:5" ht="15" customHeight="1" x14ac:dyDescent="0.25">
      <c r="A15" s="1"/>
      <c r="B15" s="47" t="s">
        <v>20</v>
      </c>
      <c r="C15" s="10">
        <f>SUM(C8:C14)</f>
        <v>18911882.838590335</v>
      </c>
      <c r="D15" s="11" t="s">
        <v>3</v>
      </c>
      <c r="E15" s="1"/>
    </row>
    <row r="16" spans="1:5" x14ac:dyDescent="0.25">
      <c r="A16" s="1"/>
      <c r="B16" s="50" t="s">
        <v>12</v>
      </c>
      <c r="C16" s="51"/>
      <c r="D16" s="20"/>
      <c r="E16" s="1"/>
    </row>
    <row r="17" spans="1:5" ht="15" customHeight="1" x14ac:dyDescent="0.25">
      <c r="A17" s="1"/>
      <c r="B17" s="52" t="s">
        <v>12</v>
      </c>
      <c r="C17" s="10">
        <f>'Fane 6. Ikke-påvirkelige omk.'!C15*(1+'Fane 12. Nøgletal'!C14)</f>
        <v>9412819.0207278952</v>
      </c>
      <c r="D17" s="11" t="s">
        <v>3</v>
      </c>
      <c r="E17" s="1"/>
    </row>
    <row r="18" spans="1:5" ht="15" customHeight="1" x14ac:dyDescent="0.25">
      <c r="A18" s="1"/>
      <c r="B18" s="50" t="s">
        <v>89</v>
      </c>
      <c r="C18" s="51"/>
      <c r="D18" s="20"/>
      <c r="E18" s="1"/>
    </row>
    <row r="19" spans="1:5" ht="15" customHeight="1" x14ac:dyDescent="0.25">
      <c r="A19" s="1"/>
      <c r="B19" s="30" t="s">
        <v>85</v>
      </c>
      <c r="C19" s="9">
        <f>'Fane 9.2. Engangstillæg'!C22</f>
        <v>0</v>
      </c>
      <c r="D19" s="8" t="s">
        <v>3</v>
      </c>
      <c r="E19" s="1"/>
    </row>
    <row r="20" spans="1:5" ht="15" customHeight="1" x14ac:dyDescent="0.25">
      <c r="A20" s="1"/>
      <c r="B20" s="30" t="s">
        <v>86</v>
      </c>
      <c r="C20" s="9">
        <f>'Fane 9.2. Engangstillæg'!E22</f>
        <v>0</v>
      </c>
      <c r="D20" s="8" t="s">
        <v>3</v>
      </c>
      <c r="E20" s="1"/>
    </row>
    <row r="21" spans="1:5" ht="15" customHeight="1" x14ac:dyDescent="0.25">
      <c r="A21" s="1"/>
      <c r="B21" s="63" t="s">
        <v>90</v>
      </c>
      <c r="C21" s="10">
        <f>SUM(C19:C20)</f>
        <v>0</v>
      </c>
      <c r="D21" s="11" t="s">
        <v>3</v>
      </c>
      <c r="E21" s="1"/>
    </row>
    <row r="22" spans="1:5" x14ac:dyDescent="0.25">
      <c r="A22" s="1"/>
      <c r="B22" s="36" t="s">
        <v>161</v>
      </c>
      <c r="C22" s="51"/>
      <c r="D22" s="20"/>
      <c r="E22" s="1"/>
    </row>
    <row r="23" spans="1:5" ht="15" customHeight="1" x14ac:dyDescent="0.25">
      <c r="A23" s="1"/>
      <c r="B23" s="66" t="s">
        <v>162</v>
      </c>
      <c r="C23" s="10">
        <f>'Fane 7. Kontrol af ØR2020'!E37</f>
        <v>0</v>
      </c>
      <c r="D23" s="11" t="s">
        <v>3</v>
      </c>
      <c r="E23" s="1"/>
    </row>
    <row r="24" spans="1:5" x14ac:dyDescent="0.25">
      <c r="A24" s="1"/>
      <c r="B24" s="36" t="s">
        <v>224</v>
      </c>
      <c r="C24" s="51"/>
      <c r="D24" s="20"/>
      <c r="E24" s="1"/>
    </row>
    <row r="25" spans="1:5" x14ac:dyDescent="0.25">
      <c r="A25" s="1"/>
      <c r="B25" s="66" t="s">
        <v>225</v>
      </c>
      <c r="C25" s="10">
        <v>0</v>
      </c>
      <c r="D25" s="11" t="s">
        <v>3</v>
      </c>
      <c r="E25" s="1"/>
    </row>
    <row r="26" spans="1:5" x14ac:dyDescent="0.25">
      <c r="A26" s="1"/>
      <c r="B26" s="50" t="s">
        <v>97</v>
      </c>
      <c r="C26" s="12">
        <f>SUM(C15,C17,C21,C23,C25)</f>
        <v>28324701.85931823</v>
      </c>
      <c r="D26" s="13" t="s">
        <v>3</v>
      </c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</sheetData>
  <sheetProtection algorithmName="SHA-512" hashValue="ui2tbtiyzgAhyx8QKTWA56fqfFNTjHs1Ex2q/gW+YRn7xFYIlNZyly+5EPzahtSRTdYwVQZ/acw0PKXb0pQRew==" saltValue="AAlfZ2q9ufK3Xbzh/ZTi9g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28515625" style="2" customWidth="1"/>
    <col min="3" max="3" width="10.28515625" style="2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8" t="s">
        <v>185</v>
      </c>
      <c r="C3" s="88"/>
      <c r="D3" s="88"/>
      <c r="E3" s="1"/>
    </row>
    <row r="4" spans="1:5" ht="15" customHeight="1" x14ac:dyDescent="0.25">
      <c r="A4" s="1"/>
      <c r="B4" s="88"/>
      <c r="C4" s="88"/>
      <c r="D4" s="88"/>
      <c r="E4" s="1"/>
    </row>
    <row r="5" spans="1:5" x14ac:dyDescent="0.25">
      <c r="A5" s="1"/>
      <c r="B5" s="89" t="s">
        <v>21</v>
      </c>
      <c r="C5" s="89"/>
      <c r="D5" s="89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50" t="s">
        <v>13</v>
      </c>
      <c r="C7" s="51"/>
      <c r="D7" s="20"/>
      <c r="E7" s="1"/>
    </row>
    <row r="8" spans="1:5" ht="15" customHeight="1" x14ac:dyDescent="0.25">
      <c r="A8" s="1"/>
      <c r="B8" s="55" t="s">
        <v>135</v>
      </c>
      <c r="C8" s="7">
        <f>'Fane 2.2. Økonomisk ramme 2023'!C15</f>
        <v>18911882.838590335</v>
      </c>
      <c r="D8" s="8" t="s">
        <v>3</v>
      </c>
      <c r="E8" s="1"/>
    </row>
    <row r="9" spans="1:5" ht="15" customHeight="1" x14ac:dyDescent="0.25">
      <c r="A9" s="1"/>
      <c r="B9" s="55" t="s">
        <v>28</v>
      </c>
      <c r="C9" s="7">
        <f>-'Fane 11. Bortfald'!C26</f>
        <v>0</v>
      </c>
      <c r="D9" s="8" t="s">
        <v>3</v>
      </c>
      <c r="E9" s="1"/>
    </row>
    <row r="10" spans="1:5" ht="15" customHeight="1" x14ac:dyDescent="0.25">
      <c r="A10" s="1"/>
      <c r="B10" s="55" t="s">
        <v>27</v>
      </c>
      <c r="C10" s="7">
        <f>-'Fane 11. Bortfald'!E26</f>
        <v>0</v>
      </c>
      <c r="D10" s="8" t="s">
        <v>3</v>
      </c>
      <c r="E10" s="1"/>
    </row>
    <row r="11" spans="1:5" ht="15" customHeight="1" x14ac:dyDescent="0.25">
      <c r="A11" s="1"/>
      <c r="B11" s="46" t="s">
        <v>18</v>
      </c>
      <c r="C11" s="9">
        <f>SUM(C8:C10)*'Fane 12. Nøgletal'!C14</f>
        <v>62409.213367348108</v>
      </c>
      <c r="D11" s="8" t="s">
        <v>3</v>
      </c>
      <c r="E11" s="1"/>
    </row>
    <row r="12" spans="1:5" ht="15" customHeight="1" x14ac:dyDescent="0.25">
      <c r="A12" s="1"/>
      <c r="B12" s="46" t="s">
        <v>9</v>
      </c>
      <c r="C12" s="9">
        <f>-SUM(C8:C11)*'Fane 5. Individuelt eff. krav'!G10</f>
        <v>-117495.67429825288</v>
      </c>
      <c r="D12" s="8" t="s">
        <v>3</v>
      </c>
      <c r="E12" s="1"/>
    </row>
    <row r="13" spans="1:5" ht="15" customHeight="1" x14ac:dyDescent="0.25">
      <c r="A13" s="1"/>
      <c r="B13" s="46" t="s">
        <v>25</v>
      </c>
      <c r="C13" s="9">
        <f>-'Fane 4.1. Gen. krav - drift'!G50</f>
        <v>-148146.87735615534</v>
      </c>
      <c r="D13" s="8" t="s">
        <v>3</v>
      </c>
      <c r="E13" s="1"/>
    </row>
    <row r="14" spans="1:5" ht="15" customHeight="1" x14ac:dyDescent="0.25">
      <c r="A14" s="1"/>
      <c r="B14" s="46" t="s">
        <v>26</v>
      </c>
      <c r="C14" s="43">
        <f>-'Fane 4.2. Gen. krav - anlæg'!G54</f>
        <v>-194199.0012524389</v>
      </c>
      <c r="D14" s="8" t="s">
        <v>3</v>
      </c>
      <c r="E14" s="1"/>
    </row>
    <row r="15" spans="1:5" x14ac:dyDescent="0.25">
      <c r="A15" s="1"/>
      <c r="B15" s="47" t="s">
        <v>20</v>
      </c>
      <c r="C15" s="10">
        <f>SUM(C8:C14)</f>
        <v>18514450.499050833</v>
      </c>
      <c r="D15" s="11" t="s">
        <v>3</v>
      </c>
      <c r="E15" s="1"/>
    </row>
    <row r="16" spans="1:5" x14ac:dyDescent="0.25">
      <c r="A16" s="1"/>
      <c r="B16" s="50" t="s">
        <v>12</v>
      </c>
      <c r="C16" s="51"/>
      <c r="D16" s="20"/>
      <c r="E16" s="1"/>
    </row>
    <row r="17" spans="1:5" ht="15" customHeight="1" x14ac:dyDescent="0.25">
      <c r="A17" s="1"/>
      <c r="B17" s="52" t="s">
        <v>12</v>
      </c>
      <c r="C17" s="10">
        <f>'Fane 6. Ikke-påvirkelige omk.'!C15*(1+'Fane 12. Nøgletal'!C14)^2</f>
        <v>9443881.323496297</v>
      </c>
      <c r="D17" s="11" t="s">
        <v>3</v>
      </c>
      <c r="E17" s="1"/>
    </row>
    <row r="18" spans="1:5" ht="15" customHeight="1" x14ac:dyDescent="0.25">
      <c r="A18" s="1"/>
      <c r="B18" s="50" t="s">
        <v>89</v>
      </c>
      <c r="C18" s="51"/>
      <c r="D18" s="20"/>
      <c r="E18" s="1"/>
    </row>
    <row r="19" spans="1:5" ht="15" customHeight="1" x14ac:dyDescent="0.25">
      <c r="A19" s="1"/>
      <c r="B19" s="30" t="s">
        <v>85</v>
      </c>
      <c r="C19" s="9">
        <f>'Fane 9.2. Engangstillæg'!C30</f>
        <v>0</v>
      </c>
      <c r="D19" s="8" t="s">
        <v>3</v>
      </c>
      <c r="E19" s="1"/>
    </row>
    <row r="20" spans="1:5" ht="15" customHeight="1" x14ac:dyDescent="0.25">
      <c r="A20" s="1"/>
      <c r="B20" s="30" t="s">
        <v>86</v>
      </c>
      <c r="C20" s="9">
        <f>'Fane 9.2. Engangstillæg'!E30</f>
        <v>0</v>
      </c>
      <c r="D20" s="8" t="s">
        <v>3</v>
      </c>
      <c r="E20" s="1"/>
    </row>
    <row r="21" spans="1:5" ht="15" customHeight="1" x14ac:dyDescent="0.25">
      <c r="A21" s="1"/>
      <c r="B21" s="63" t="s">
        <v>90</v>
      </c>
      <c r="C21" s="10">
        <f>SUM(C19:C20)</f>
        <v>0</v>
      </c>
      <c r="D21" s="11" t="s">
        <v>3</v>
      </c>
      <c r="E21" s="1"/>
    </row>
    <row r="22" spans="1:5" x14ac:dyDescent="0.25">
      <c r="A22" s="1"/>
      <c r="B22" s="50" t="s">
        <v>161</v>
      </c>
      <c r="C22" s="51"/>
      <c r="D22" s="20"/>
      <c r="E22" s="1"/>
    </row>
    <row r="23" spans="1:5" x14ac:dyDescent="0.25">
      <c r="A23" s="1"/>
      <c r="B23" s="52" t="s">
        <v>162</v>
      </c>
      <c r="C23" s="10">
        <f>'Fane 7. Kontrol af ØR2020'!E37</f>
        <v>0</v>
      </c>
      <c r="D23" s="11" t="s">
        <v>3</v>
      </c>
      <c r="E23" s="1"/>
    </row>
    <row r="24" spans="1:5" ht="15" customHeight="1" x14ac:dyDescent="0.25">
      <c r="A24" s="1"/>
      <c r="B24" s="36" t="s">
        <v>224</v>
      </c>
      <c r="C24" s="51"/>
      <c r="D24" s="20"/>
      <c r="E24" s="1"/>
    </row>
    <row r="25" spans="1:5" ht="15" customHeight="1" x14ac:dyDescent="0.25">
      <c r="A25" s="1"/>
      <c r="B25" s="66" t="s">
        <v>225</v>
      </c>
      <c r="C25" s="10">
        <v>0</v>
      </c>
      <c r="D25" s="11" t="s">
        <v>3</v>
      </c>
      <c r="E25" s="1"/>
    </row>
    <row r="26" spans="1:5" x14ac:dyDescent="0.25">
      <c r="A26" s="1"/>
      <c r="B26" s="50" t="s">
        <v>186</v>
      </c>
      <c r="C26" s="12">
        <f>SUM(C15,C17,C21,C23,C25)</f>
        <v>27958331.82254713</v>
      </c>
      <c r="D26" s="13" t="s">
        <v>3</v>
      </c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</sheetData>
  <sheetProtection algorithmName="SHA-512" hashValue="qJ/RejDce+voD2DdFCCDMl4rqb3+IbB7ZZO5CVjhg0mVKzBh5deIH9g3rKLbSOQFJDj7CsrmGJsiyjwPa5ILVw==" saltValue="Eepijf7MECjuMVAXpmcO7A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10.28515625" style="2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8" t="s">
        <v>187</v>
      </c>
      <c r="C3" s="88"/>
      <c r="D3" s="88"/>
      <c r="E3" s="1"/>
    </row>
    <row r="4" spans="1:5" ht="15" customHeight="1" x14ac:dyDescent="0.25">
      <c r="A4" s="1"/>
      <c r="B4" s="88"/>
      <c r="C4" s="88"/>
      <c r="D4" s="88"/>
      <c r="E4" s="1"/>
    </row>
    <row r="5" spans="1:5" x14ac:dyDescent="0.25">
      <c r="A5" s="1"/>
      <c r="B5" s="89" t="s">
        <v>21</v>
      </c>
      <c r="C5" s="89"/>
      <c r="D5" s="89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50" t="s">
        <v>13</v>
      </c>
      <c r="C7" s="51"/>
      <c r="D7" s="20"/>
      <c r="E7" s="1"/>
    </row>
    <row r="8" spans="1:5" ht="15" customHeight="1" x14ac:dyDescent="0.25">
      <c r="A8" s="1"/>
      <c r="B8" s="55" t="s">
        <v>188</v>
      </c>
      <c r="C8" s="7">
        <f>'Fane 2.3. Økonomisk ramme 2024'!C15</f>
        <v>18514450.499050833</v>
      </c>
      <c r="D8" s="8" t="s">
        <v>3</v>
      </c>
      <c r="E8" s="1"/>
    </row>
    <row r="9" spans="1:5" ht="15" customHeight="1" x14ac:dyDescent="0.25">
      <c r="A9" s="1"/>
      <c r="B9" s="55" t="s">
        <v>28</v>
      </c>
      <c r="C9" s="7">
        <f>-'Fane 11. Bortfald'!C33</f>
        <v>0</v>
      </c>
      <c r="D9" s="8" t="s">
        <v>3</v>
      </c>
      <c r="E9" s="1"/>
    </row>
    <row r="10" spans="1:5" ht="15" customHeight="1" x14ac:dyDescent="0.25">
      <c r="A10" s="1"/>
      <c r="B10" s="55" t="s">
        <v>27</v>
      </c>
      <c r="C10" s="7">
        <f>-'Fane 11. Bortfald'!E33</f>
        <v>0</v>
      </c>
      <c r="D10" s="8" t="s">
        <v>3</v>
      </c>
      <c r="E10" s="1"/>
    </row>
    <row r="11" spans="1:5" ht="15" customHeight="1" x14ac:dyDescent="0.25">
      <c r="A11" s="1"/>
      <c r="B11" s="46" t="s">
        <v>18</v>
      </c>
      <c r="C11" s="9">
        <f>SUM(C8:C10)*'Fane 12. Nøgletal'!C14</f>
        <v>61097.686646867747</v>
      </c>
      <c r="D11" s="8" t="s">
        <v>3</v>
      </c>
      <c r="E11" s="1"/>
    </row>
    <row r="12" spans="1:5" ht="15" customHeight="1" x14ac:dyDescent="0.25">
      <c r="A12" s="1"/>
      <c r="B12" s="46" t="s">
        <v>9</v>
      </c>
      <c r="C12" s="9">
        <f>-SUM(C8:C11)*'Fane 5. Individuelt eff. krav'!G10</f>
        <v>-115026.50815965774</v>
      </c>
      <c r="D12" s="8" t="s">
        <v>3</v>
      </c>
      <c r="E12" s="1"/>
    </row>
    <row r="13" spans="1:5" ht="15" customHeight="1" x14ac:dyDescent="0.25">
      <c r="A13" s="1"/>
      <c r="B13" s="46" t="s">
        <v>25</v>
      </c>
      <c r="C13" s="9">
        <f>-'Fane 4.1. Gen. krav - drift'!G56</f>
        <v>-145663.04681040204</v>
      </c>
      <c r="D13" s="8" t="s">
        <v>3</v>
      </c>
      <c r="E13" s="1"/>
    </row>
    <row r="14" spans="1:5" ht="15" customHeight="1" x14ac:dyDescent="0.25">
      <c r="A14" s="1"/>
      <c r="B14" s="46" t="s">
        <v>26</v>
      </c>
      <c r="C14" s="9">
        <f>-'Fane 4.2. Gen. krav - anlæg'!G60</f>
        <v>-191956.22805881468</v>
      </c>
      <c r="D14" s="8" t="s">
        <v>3</v>
      </c>
      <c r="E14" s="1"/>
    </row>
    <row r="15" spans="1:5" x14ac:dyDescent="0.25">
      <c r="A15" s="1"/>
      <c r="B15" s="47" t="s">
        <v>20</v>
      </c>
      <c r="C15" s="10">
        <f>SUM(C8:C14)</f>
        <v>18122902.402668826</v>
      </c>
      <c r="D15" s="11" t="s">
        <v>3</v>
      </c>
      <c r="E15" s="1"/>
    </row>
    <row r="16" spans="1:5" x14ac:dyDescent="0.25">
      <c r="A16" s="1"/>
      <c r="B16" s="50" t="s">
        <v>12</v>
      </c>
      <c r="C16" s="51"/>
      <c r="D16" s="20"/>
      <c r="E16" s="1"/>
    </row>
    <row r="17" spans="1:5" ht="15" customHeight="1" x14ac:dyDescent="0.25">
      <c r="A17" s="1"/>
      <c r="B17" s="52" t="s">
        <v>12</v>
      </c>
      <c r="C17" s="10">
        <f>'Fane 6. Ikke-påvirkelige omk.'!C15*(1+'Fane 12. Nøgletal'!C14)^3</f>
        <v>9475046.1318638362</v>
      </c>
      <c r="D17" s="11" t="s">
        <v>3</v>
      </c>
      <c r="E17" s="1"/>
    </row>
    <row r="18" spans="1:5" ht="15" customHeight="1" x14ac:dyDescent="0.25">
      <c r="A18" s="1"/>
      <c r="B18" s="50" t="s">
        <v>89</v>
      </c>
      <c r="C18" s="51"/>
      <c r="D18" s="20"/>
      <c r="E18" s="1"/>
    </row>
    <row r="19" spans="1:5" ht="15" customHeight="1" x14ac:dyDescent="0.25">
      <c r="A19" s="1"/>
      <c r="B19" s="30" t="s">
        <v>85</v>
      </c>
      <c r="C19" s="9">
        <f>'Fane 9.2. Engangstillæg'!C38</f>
        <v>0</v>
      </c>
      <c r="D19" s="8" t="s">
        <v>3</v>
      </c>
      <c r="E19" s="1"/>
    </row>
    <row r="20" spans="1:5" ht="15" customHeight="1" x14ac:dyDescent="0.25">
      <c r="A20" s="1"/>
      <c r="B20" s="30" t="s">
        <v>86</v>
      </c>
      <c r="C20" s="9">
        <f>'Fane 9.2. Engangstillæg'!E38</f>
        <v>0</v>
      </c>
      <c r="D20" s="8" t="s">
        <v>3</v>
      </c>
      <c r="E20" s="1"/>
    </row>
    <row r="21" spans="1:5" ht="15" customHeight="1" x14ac:dyDescent="0.25">
      <c r="A21" s="1"/>
      <c r="B21" s="63" t="s">
        <v>90</v>
      </c>
      <c r="C21" s="10">
        <f>SUM(C19:C20)</f>
        <v>0</v>
      </c>
      <c r="D21" s="11" t="s">
        <v>3</v>
      </c>
      <c r="E21" s="1"/>
    </row>
    <row r="22" spans="1:5" x14ac:dyDescent="0.25">
      <c r="A22" s="1"/>
      <c r="B22" s="50" t="s">
        <v>161</v>
      </c>
      <c r="C22" s="51"/>
      <c r="D22" s="20"/>
      <c r="E22" s="1"/>
    </row>
    <row r="23" spans="1:5" x14ac:dyDescent="0.25">
      <c r="A23" s="1"/>
      <c r="B23" s="52" t="s">
        <v>162</v>
      </c>
      <c r="C23" s="10">
        <f>'Fane 7. Kontrol af ØR2020'!E37</f>
        <v>0</v>
      </c>
      <c r="D23" s="11" t="s">
        <v>3</v>
      </c>
      <c r="E23" s="1"/>
    </row>
    <row r="24" spans="1:5" x14ac:dyDescent="0.25">
      <c r="A24" s="1"/>
      <c r="B24" s="36" t="s">
        <v>224</v>
      </c>
      <c r="C24" s="51"/>
      <c r="D24" s="20"/>
      <c r="E24" s="1"/>
    </row>
    <row r="25" spans="1:5" x14ac:dyDescent="0.25">
      <c r="A25" s="1"/>
      <c r="B25" s="66" t="s">
        <v>225</v>
      </c>
      <c r="C25" s="10">
        <v>0</v>
      </c>
      <c r="D25" s="11" t="s">
        <v>3</v>
      </c>
      <c r="E25" s="1"/>
    </row>
    <row r="26" spans="1:5" x14ac:dyDescent="0.25">
      <c r="A26" s="1"/>
      <c r="B26" s="50" t="s">
        <v>189</v>
      </c>
      <c r="C26" s="12">
        <f>SUM(C15,C17,C21,C23,C25)</f>
        <v>27597948.534532662</v>
      </c>
      <c r="D26" s="13" t="s">
        <v>3</v>
      </c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</sheetData>
  <sheetProtection algorithmName="SHA-512" hashValue="uS5bAYQTw9Hc9g6vXa77zQ5gBx1CN+Odn9z7vR1HTjUMqggHxUlHj2nLxNycd/yBwthEwvqcTfuMwXbvxXB4BQ==" saltValue="efD8Ge3wqI0c5uyw1hCXqQ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6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39.42578125" style="2" customWidth="1"/>
    <col min="5" max="5" width="9.85546875" style="2" bestFit="1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107" t="s">
        <v>190</v>
      </c>
      <c r="C3" s="107"/>
      <c r="D3" s="107"/>
      <c r="E3" s="107"/>
      <c r="F3" s="107"/>
      <c r="G3" s="1"/>
    </row>
    <row r="4" spans="1:7" ht="29.25" customHeight="1" x14ac:dyDescent="0.25">
      <c r="A4" s="1"/>
      <c r="B4" s="107"/>
      <c r="C4" s="107"/>
      <c r="D4" s="107"/>
      <c r="E4" s="107"/>
      <c r="F4" s="107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50" t="s">
        <v>223</v>
      </c>
      <c r="C8" s="51"/>
      <c r="D8" s="51"/>
      <c r="E8" s="51"/>
      <c r="F8" s="20"/>
      <c r="G8" s="1"/>
    </row>
    <row r="9" spans="1:7" x14ac:dyDescent="0.25">
      <c r="A9" s="1"/>
      <c r="B9" s="108" t="s">
        <v>23</v>
      </c>
      <c r="C9" s="109"/>
      <c r="D9" s="110"/>
      <c r="E9" s="7">
        <v>19650176.521872181</v>
      </c>
      <c r="F9" s="8" t="s">
        <v>3</v>
      </c>
      <c r="G9" s="1"/>
    </row>
    <row r="10" spans="1:7" ht="15" customHeight="1" x14ac:dyDescent="0.25">
      <c r="A10" s="1"/>
      <c r="B10" s="93" t="s">
        <v>40</v>
      </c>
      <c r="C10" s="94"/>
      <c r="D10" s="95"/>
      <c r="E10" s="9">
        <v>8048.0021999999999</v>
      </c>
      <c r="F10" s="8" t="s">
        <v>3</v>
      </c>
      <c r="G10" s="1"/>
    </row>
    <row r="11" spans="1:7" ht="15" customHeight="1" x14ac:dyDescent="0.25">
      <c r="A11" s="1"/>
      <c r="B11" s="93" t="s">
        <v>41</v>
      </c>
      <c r="C11" s="94"/>
      <c r="D11" s="95"/>
      <c r="E11" s="9">
        <v>3566.9928</v>
      </c>
      <c r="F11" s="8" t="s">
        <v>3</v>
      </c>
      <c r="G11" s="1"/>
    </row>
    <row r="12" spans="1:7" x14ac:dyDescent="0.25">
      <c r="A12" s="1"/>
      <c r="B12" s="93" t="s">
        <v>28</v>
      </c>
      <c r="C12" s="94"/>
      <c r="D12" s="95"/>
      <c r="E12" s="9">
        <v>0</v>
      </c>
      <c r="F12" s="8" t="s">
        <v>3</v>
      </c>
      <c r="G12" s="1"/>
    </row>
    <row r="13" spans="1:7" x14ac:dyDescent="0.25">
      <c r="A13" s="1"/>
      <c r="B13" s="93" t="s">
        <v>27</v>
      </c>
      <c r="C13" s="94"/>
      <c r="D13" s="95"/>
      <c r="E13" s="9">
        <v>0</v>
      </c>
      <c r="F13" s="8" t="s">
        <v>3</v>
      </c>
      <c r="G13" s="1"/>
    </row>
    <row r="14" spans="1:7" x14ac:dyDescent="0.25">
      <c r="A14" s="1"/>
      <c r="B14" s="93" t="s">
        <v>132</v>
      </c>
      <c r="C14" s="94"/>
      <c r="D14" s="95"/>
      <c r="E14" s="9">
        <v>0</v>
      </c>
      <c r="F14" s="8" t="s">
        <v>3</v>
      </c>
      <c r="G14" s="1"/>
    </row>
    <row r="15" spans="1:7" x14ac:dyDescent="0.25">
      <c r="A15" s="1"/>
      <c r="B15" s="93" t="s">
        <v>133</v>
      </c>
      <c r="C15" s="94"/>
      <c r="D15" s="95"/>
      <c r="E15" s="9">
        <v>0</v>
      </c>
      <c r="F15" s="8" t="s">
        <v>3</v>
      </c>
      <c r="G15" s="1"/>
    </row>
    <row r="16" spans="1:7" x14ac:dyDescent="0.25">
      <c r="A16" s="1"/>
      <c r="B16" s="93" t="s">
        <v>18</v>
      </c>
      <c r="C16" s="94"/>
      <c r="D16" s="95"/>
      <c r="E16" s="9">
        <v>239873.85650584064</v>
      </c>
      <c r="F16" s="8" t="s">
        <v>3</v>
      </c>
      <c r="G16" s="1"/>
    </row>
    <row r="17" spans="1:7" x14ac:dyDescent="0.25">
      <c r="A17" s="1"/>
      <c r="B17" s="93" t="s">
        <v>9</v>
      </c>
      <c r="C17" s="94"/>
      <c r="D17" s="95"/>
      <c r="E17" s="9">
        <v>-123238.30508669651</v>
      </c>
      <c r="F17" s="8" t="s">
        <v>3</v>
      </c>
      <c r="G17" s="1"/>
    </row>
    <row r="18" spans="1:7" x14ac:dyDescent="0.25">
      <c r="A18" s="1"/>
      <c r="B18" s="93" t="s">
        <v>25</v>
      </c>
      <c r="C18" s="94"/>
      <c r="D18" s="95"/>
      <c r="E18" s="9">
        <v>-152112.60112260515</v>
      </c>
      <c r="F18" s="8" t="s">
        <v>3</v>
      </c>
      <c r="G18" s="1"/>
    </row>
    <row r="19" spans="1:7" x14ac:dyDescent="0.25">
      <c r="A19" s="1"/>
      <c r="B19" s="93" t="s">
        <v>26</v>
      </c>
      <c r="C19" s="94"/>
      <c r="D19" s="95"/>
      <c r="E19" s="9">
        <v>-370103.05584998213</v>
      </c>
      <c r="F19" s="8" t="s">
        <v>3</v>
      </c>
      <c r="G19" s="1"/>
    </row>
    <row r="20" spans="1:7" x14ac:dyDescent="0.25">
      <c r="A20" s="1"/>
      <c r="B20" s="96" t="s">
        <v>20</v>
      </c>
      <c r="C20" s="97"/>
      <c r="D20" s="98"/>
      <c r="E20" s="10">
        <f>SUM(E9:E19)</f>
        <v>19256211.411318742</v>
      </c>
      <c r="F20" s="11" t="s">
        <v>3</v>
      </c>
      <c r="G20" s="1"/>
    </row>
    <row r="21" spans="1:7" x14ac:dyDescent="0.25">
      <c r="A21" s="1"/>
      <c r="B21" s="50" t="s">
        <v>12</v>
      </c>
      <c r="C21" s="51"/>
      <c r="D21" s="51"/>
      <c r="E21" s="51"/>
      <c r="F21" s="20"/>
      <c r="G21" s="1"/>
    </row>
    <row r="22" spans="1:7" x14ac:dyDescent="0.25">
      <c r="A22" s="1"/>
      <c r="B22" s="104" t="s">
        <v>12</v>
      </c>
      <c r="C22" s="105"/>
      <c r="D22" s="106"/>
      <c r="E22" s="10">
        <v>11829375.33551424</v>
      </c>
      <c r="F22" s="11" t="s">
        <v>3</v>
      </c>
      <c r="G22" s="1"/>
    </row>
    <row r="23" spans="1:7" ht="15" customHeight="1" x14ac:dyDescent="0.25">
      <c r="A23" s="1"/>
      <c r="B23" s="102" t="s">
        <v>89</v>
      </c>
      <c r="C23" s="103"/>
      <c r="D23" s="103"/>
      <c r="E23" s="51"/>
      <c r="F23" s="51"/>
      <c r="G23" s="1"/>
    </row>
    <row r="24" spans="1:7" ht="14.25" customHeight="1" x14ac:dyDescent="0.25">
      <c r="A24" s="1"/>
      <c r="B24" s="90" t="s">
        <v>85</v>
      </c>
      <c r="C24" s="91"/>
      <c r="D24" s="92"/>
      <c r="E24" s="9">
        <v>0</v>
      </c>
      <c r="F24" s="8" t="s">
        <v>3</v>
      </c>
      <c r="G24" s="1"/>
    </row>
    <row r="25" spans="1:7" ht="14.25" customHeight="1" x14ac:dyDescent="0.25">
      <c r="A25" s="1"/>
      <c r="B25" s="90" t="s">
        <v>86</v>
      </c>
      <c r="C25" s="91"/>
      <c r="D25" s="92"/>
      <c r="E25" s="9">
        <v>0</v>
      </c>
      <c r="F25" s="8" t="s">
        <v>3</v>
      </c>
      <c r="G25" s="1"/>
    </row>
    <row r="26" spans="1:7" x14ac:dyDescent="0.25">
      <c r="A26" s="1"/>
      <c r="B26" s="99" t="s">
        <v>90</v>
      </c>
      <c r="C26" s="100"/>
      <c r="D26" s="100"/>
      <c r="E26" s="10">
        <v>0</v>
      </c>
      <c r="F26" s="11" t="s">
        <v>3</v>
      </c>
      <c r="G26" s="1"/>
    </row>
    <row r="27" spans="1:7" x14ac:dyDescent="0.25">
      <c r="A27" s="1"/>
      <c r="B27" s="50" t="s">
        <v>161</v>
      </c>
      <c r="C27" s="51"/>
      <c r="D27" s="51"/>
      <c r="E27" s="51"/>
      <c r="F27" s="20"/>
      <c r="G27" s="1"/>
    </row>
    <row r="28" spans="1:7" x14ac:dyDescent="0.25">
      <c r="A28" s="1"/>
      <c r="B28" s="99" t="s">
        <v>162</v>
      </c>
      <c r="C28" s="100"/>
      <c r="D28" s="101"/>
      <c r="E28" s="10">
        <v>0</v>
      </c>
      <c r="F28" s="11" t="s">
        <v>3</v>
      </c>
      <c r="G28" s="1"/>
    </row>
    <row r="29" spans="1:7" x14ac:dyDescent="0.25">
      <c r="A29" s="1"/>
      <c r="B29" s="50" t="s">
        <v>245</v>
      </c>
      <c r="C29" s="51"/>
      <c r="D29" s="51"/>
      <c r="E29" s="51"/>
      <c r="F29" s="20"/>
      <c r="G29" s="1"/>
    </row>
    <row r="30" spans="1:7" ht="15" customHeight="1" x14ac:dyDescent="0.25">
      <c r="A30" s="1"/>
      <c r="B30" s="99" t="s">
        <v>246</v>
      </c>
      <c r="C30" s="100"/>
      <c r="D30" s="101"/>
      <c r="E30" s="10">
        <v>0</v>
      </c>
      <c r="F30" s="11" t="s">
        <v>3</v>
      </c>
      <c r="G30" s="1"/>
    </row>
    <row r="31" spans="1:7" x14ac:dyDescent="0.25">
      <c r="A31" s="1"/>
      <c r="B31" s="50" t="s">
        <v>29</v>
      </c>
      <c r="C31" s="51"/>
      <c r="D31" s="51"/>
      <c r="E31" s="12">
        <f>E20+E22+E26+E28+E30</f>
        <v>31085586.746832982</v>
      </c>
      <c r="F31" s="13" t="s">
        <v>3</v>
      </c>
      <c r="G31" s="1"/>
    </row>
    <row r="32" spans="1:7" ht="14.25" customHeight="1" x14ac:dyDescent="0.25">
      <c r="A32" s="1"/>
      <c r="B32" s="90" t="s">
        <v>191</v>
      </c>
      <c r="C32" s="91"/>
      <c r="D32" s="91"/>
      <c r="E32" s="91"/>
      <c r="F32" s="92"/>
      <c r="G32" s="1"/>
    </row>
    <row r="33" spans="1:7" ht="27.75" customHeight="1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</sheetData>
  <sheetProtection algorithmName="SHA-512" hashValue="uRXTrxsfB6c81mPMh2mn2ArOCGecwASM9vFDsnWdIfRZlQQiZ6cBa4/Vb87WxncSAjDUieIrnt+hOH/4/Y8KVA==" saltValue="PfuxLdDHlUBGqTX9poFNoQ==" spinCount="100000" sheet="1" objects="1" scenarios="1"/>
  <mergeCells count="21">
    <mergeCell ref="B13:D13"/>
    <mergeCell ref="B14:D14"/>
    <mergeCell ref="B15:D15"/>
    <mergeCell ref="B22:D22"/>
    <mergeCell ref="B3:F4"/>
    <mergeCell ref="B9:D9"/>
    <mergeCell ref="B10:D10"/>
    <mergeCell ref="B11:D11"/>
    <mergeCell ref="B12:D12"/>
    <mergeCell ref="B32:F32"/>
    <mergeCell ref="B16:D16"/>
    <mergeCell ref="B17:D17"/>
    <mergeCell ref="B18:D18"/>
    <mergeCell ref="B19:D19"/>
    <mergeCell ref="B20:D20"/>
    <mergeCell ref="B30:D30"/>
    <mergeCell ref="B23:D23"/>
    <mergeCell ref="B24:D24"/>
    <mergeCell ref="B25:D25"/>
    <mergeCell ref="B26:D26"/>
    <mergeCell ref="B28:D28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7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7.42578125" style="2" customWidth="1"/>
    <col min="9" max="9" width="6.7109375" style="2" customWidth="1"/>
    <col min="10" max="16384" width="9.140625" style="2"/>
  </cols>
  <sheetData>
    <row r="1" spans="1:9" ht="15" customHeight="1" x14ac:dyDescent="0.25">
      <c r="A1" s="1"/>
      <c r="B1" s="107" t="s">
        <v>115</v>
      </c>
      <c r="C1" s="107"/>
      <c r="D1" s="107"/>
      <c r="E1" s="107"/>
      <c r="F1" s="107"/>
      <c r="G1" s="107"/>
      <c r="H1" s="107"/>
      <c r="I1" s="1"/>
    </row>
    <row r="2" spans="1:9" ht="15" customHeight="1" x14ac:dyDescent="0.25">
      <c r="A2" s="1"/>
      <c r="B2" s="107"/>
      <c r="C2" s="107"/>
      <c r="D2" s="107"/>
      <c r="E2" s="107"/>
      <c r="F2" s="107"/>
      <c r="G2" s="107"/>
      <c r="H2" s="107"/>
      <c r="I2" s="1"/>
    </row>
    <row r="3" spans="1:9" ht="15" customHeight="1" x14ac:dyDescent="0.25">
      <c r="A3" s="1"/>
      <c r="B3" s="107"/>
      <c r="C3" s="107"/>
      <c r="D3" s="107"/>
      <c r="E3" s="107"/>
      <c r="F3" s="107"/>
      <c r="G3" s="107"/>
      <c r="H3" s="107"/>
      <c r="I3" s="1"/>
    </row>
    <row r="4" spans="1:9" x14ac:dyDescent="0.25">
      <c r="A4" s="1"/>
      <c r="B4" s="114" t="s">
        <v>54</v>
      </c>
      <c r="C4" s="115"/>
      <c r="D4" s="115"/>
      <c r="E4" s="115"/>
      <c r="F4" s="115"/>
      <c r="G4" s="115"/>
      <c r="H4" s="116"/>
      <c r="I4" s="1"/>
    </row>
    <row r="5" spans="1:9" x14ac:dyDescent="0.25">
      <c r="A5" s="1"/>
      <c r="B5" s="111" t="s">
        <v>43</v>
      </c>
      <c r="C5" s="112"/>
      <c r="D5" s="112"/>
      <c r="E5" s="112"/>
      <c r="F5" s="113"/>
      <c r="G5" s="24">
        <v>7865832.286732736</v>
      </c>
      <c r="H5" s="14" t="s">
        <v>3</v>
      </c>
      <c r="I5" s="1"/>
    </row>
    <row r="6" spans="1:9" x14ac:dyDescent="0.25">
      <c r="A6" s="1"/>
      <c r="B6" s="111" t="s">
        <v>44</v>
      </c>
      <c r="C6" s="112"/>
      <c r="D6" s="112"/>
      <c r="E6" s="112"/>
      <c r="F6" s="113"/>
      <c r="G6" s="24">
        <f>G5*'Fane 12. Nøgletal'!C29</f>
        <v>157316.64573465471</v>
      </c>
      <c r="H6" s="14" t="s">
        <v>3</v>
      </c>
      <c r="I6" s="1"/>
    </row>
    <row r="7" spans="1:9" x14ac:dyDescent="0.25">
      <c r="A7" s="1"/>
      <c r="B7" s="50"/>
      <c r="C7" s="51"/>
      <c r="D7" s="51"/>
      <c r="E7" s="51"/>
      <c r="F7" s="51"/>
      <c r="G7" s="51"/>
      <c r="H7" s="20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"/>
      <c r="B9" s="114" t="s">
        <v>55</v>
      </c>
      <c r="C9" s="115"/>
      <c r="D9" s="115"/>
      <c r="E9" s="115"/>
      <c r="F9" s="115"/>
      <c r="G9" s="115"/>
      <c r="H9" s="116"/>
      <c r="I9" s="1"/>
    </row>
    <row r="10" spans="1:9" x14ac:dyDescent="0.25">
      <c r="A10" s="1"/>
      <c r="B10" s="111" t="s">
        <v>45</v>
      </c>
      <c r="C10" s="112"/>
      <c r="D10" s="112"/>
      <c r="E10" s="112"/>
      <c r="F10" s="113"/>
      <c r="G10" s="24">
        <f>(G5-G6)*(1+'Fane 12. Nøgletal'!C9)</f>
        <v>7806413.7896387568</v>
      </c>
      <c r="H10" s="14" t="s">
        <v>3</v>
      </c>
      <c r="I10" s="1"/>
    </row>
    <row r="11" spans="1:9" x14ac:dyDescent="0.25">
      <c r="A11" s="1"/>
      <c r="B11" s="117" t="s">
        <v>46</v>
      </c>
      <c r="C11" s="118"/>
      <c r="D11" s="118"/>
      <c r="E11" s="118"/>
      <c r="F11" s="119"/>
      <c r="G11" s="9">
        <v>0</v>
      </c>
      <c r="H11" s="14" t="s">
        <v>3</v>
      </c>
      <c r="I11" s="1"/>
    </row>
    <row r="12" spans="1:9" x14ac:dyDescent="0.25">
      <c r="A12" s="1"/>
      <c r="B12" s="111" t="s">
        <v>47</v>
      </c>
      <c r="C12" s="112"/>
      <c r="D12" s="112"/>
      <c r="E12" s="112"/>
      <c r="F12" s="113"/>
      <c r="G12" s="24">
        <f>(G10+G11)*'Fane 12. Nøgletal'!C29</f>
        <v>156128.27579277515</v>
      </c>
      <c r="H12" s="14" t="s">
        <v>3</v>
      </c>
      <c r="I12" s="1"/>
    </row>
    <row r="13" spans="1:9" x14ac:dyDescent="0.25">
      <c r="A13" s="1"/>
      <c r="B13" s="50"/>
      <c r="C13" s="51"/>
      <c r="D13" s="51"/>
      <c r="E13" s="51"/>
      <c r="F13" s="51"/>
      <c r="G13" s="51"/>
      <c r="H13" s="20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14" t="s">
        <v>56</v>
      </c>
      <c r="C15" s="115"/>
      <c r="D15" s="115"/>
      <c r="E15" s="115"/>
      <c r="F15" s="115"/>
      <c r="G15" s="115"/>
      <c r="H15" s="116"/>
      <c r="I15" s="1"/>
    </row>
    <row r="16" spans="1:9" x14ac:dyDescent="0.25">
      <c r="A16" s="1"/>
      <c r="B16" s="111" t="s">
        <v>48</v>
      </c>
      <c r="C16" s="112"/>
      <c r="D16" s="112"/>
      <c r="E16" s="112"/>
      <c r="F16" s="113"/>
      <c r="G16" s="24">
        <f>(G10+G11-G12)*(1+'Fane 12. Nøgletal'!C11)</f>
        <v>7779575.339029978</v>
      </c>
      <c r="H16" s="14" t="s">
        <v>3</v>
      </c>
      <c r="I16" s="1"/>
    </row>
    <row r="17" spans="1:9" x14ac:dyDescent="0.25">
      <c r="A17" s="1"/>
      <c r="B17" s="111" t="s">
        <v>125</v>
      </c>
      <c r="C17" s="112"/>
      <c r="D17" s="112"/>
      <c r="E17" s="112"/>
      <c r="F17" s="113"/>
      <c r="G17" s="24">
        <v>-94058.91620683753</v>
      </c>
      <c r="H17" s="14" t="s">
        <v>3</v>
      </c>
      <c r="I17" s="1"/>
    </row>
    <row r="18" spans="1:9" x14ac:dyDescent="0.25">
      <c r="A18" s="1"/>
      <c r="B18" s="117" t="s">
        <v>49</v>
      </c>
      <c r="C18" s="118"/>
      <c r="D18" s="118"/>
      <c r="E18" s="118"/>
      <c r="F18" s="119"/>
      <c r="G18" s="9">
        <v>0</v>
      </c>
      <c r="H18" s="14" t="s">
        <v>3</v>
      </c>
      <c r="I18" s="1"/>
    </row>
    <row r="19" spans="1:9" x14ac:dyDescent="0.25">
      <c r="A19" s="1"/>
      <c r="B19" s="111" t="s">
        <v>50</v>
      </c>
      <c r="C19" s="112"/>
      <c r="D19" s="112"/>
      <c r="E19" s="112"/>
      <c r="F19" s="113"/>
      <c r="G19" s="24">
        <f>SUM(G16:G18)*'Fane 12. Nøgletal'!C29</f>
        <v>153710.3284564628</v>
      </c>
      <c r="H19" s="14" t="s">
        <v>3</v>
      </c>
      <c r="I19" s="1"/>
    </row>
    <row r="20" spans="1:9" x14ac:dyDescent="0.25">
      <c r="A20" s="1"/>
      <c r="B20" s="50"/>
      <c r="C20" s="51"/>
      <c r="D20" s="51"/>
      <c r="E20" s="51"/>
      <c r="F20" s="51"/>
      <c r="G20" s="51"/>
      <c r="H20" s="20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14" t="s">
        <v>57</v>
      </c>
      <c r="C22" s="115"/>
      <c r="D22" s="115"/>
      <c r="E22" s="115"/>
      <c r="F22" s="115"/>
      <c r="G22" s="115"/>
      <c r="H22" s="116"/>
      <c r="I22" s="1"/>
    </row>
    <row r="23" spans="1:9" x14ac:dyDescent="0.25">
      <c r="A23" s="1"/>
      <c r="B23" s="111" t="s">
        <v>51</v>
      </c>
      <c r="C23" s="112"/>
      <c r="D23" s="112"/>
      <c r="E23" s="112"/>
      <c r="F23" s="113"/>
      <c r="G23" s="24">
        <f>(SUM(G16:G18)-G19)*(1+'Fane 12. Nøgletal'!C11)</f>
        <v>7659093.6173614739</v>
      </c>
      <c r="H23" s="14" t="s">
        <v>3</v>
      </c>
      <c r="I23" s="1"/>
    </row>
    <row r="24" spans="1:9" x14ac:dyDescent="0.25">
      <c r="A24" s="1"/>
      <c r="B24" s="117" t="s">
        <v>52</v>
      </c>
      <c r="C24" s="118"/>
      <c r="D24" s="118"/>
      <c r="E24" s="118"/>
      <c r="F24" s="119"/>
      <c r="G24" s="9">
        <v>0</v>
      </c>
      <c r="H24" s="14" t="s">
        <v>3</v>
      </c>
      <c r="I24" s="1"/>
    </row>
    <row r="25" spans="1:9" x14ac:dyDescent="0.25">
      <c r="A25" s="1"/>
      <c r="B25" s="111" t="s">
        <v>53</v>
      </c>
      <c r="C25" s="112"/>
      <c r="D25" s="112"/>
      <c r="E25" s="112"/>
      <c r="F25" s="113"/>
      <c r="G25" s="24">
        <f>(G23+G24)*'Fane 12. Nøgletal'!C29</f>
        <v>153181.87234722948</v>
      </c>
      <c r="H25" s="14" t="s">
        <v>3</v>
      </c>
      <c r="I25" s="1"/>
    </row>
    <row r="26" spans="1:9" x14ac:dyDescent="0.25">
      <c r="A26" s="1"/>
      <c r="B26" s="50"/>
      <c r="C26" s="51"/>
      <c r="D26" s="51"/>
      <c r="E26" s="51"/>
      <c r="F26" s="51"/>
      <c r="G26" s="51"/>
      <c r="H26" s="20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14" t="s">
        <v>175</v>
      </c>
      <c r="C28" s="115"/>
      <c r="D28" s="115"/>
      <c r="E28" s="115"/>
      <c r="F28" s="115"/>
      <c r="G28" s="115"/>
      <c r="H28" s="116"/>
      <c r="I28" s="1"/>
    </row>
    <row r="29" spans="1:9" x14ac:dyDescent="0.25">
      <c r="A29" s="1"/>
      <c r="B29" s="111" t="s">
        <v>60</v>
      </c>
      <c r="C29" s="112"/>
      <c r="D29" s="112"/>
      <c r="E29" s="112"/>
      <c r="F29" s="113"/>
      <c r="G29" s="24">
        <f>(G23+G24-G25)*(1+'Fane 12. Nøgletal'!C13)</f>
        <v>7597483.8683034182</v>
      </c>
      <c r="H29" s="14" t="s">
        <v>3</v>
      </c>
      <c r="I29" s="1"/>
    </row>
    <row r="30" spans="1:9" x14ac:dyDescent="0.25">
      <c r="A30" s="1"/>
      <c r="B30" s="111" t="s">
        <v>147</v>
      </c>
      <c r="C30" s="112"/>
      <c r="D30" s="112"/>
      <c r="E30" s="112"/>
      <c r="F30" s="113"/>
      <c r="G30" s="24">
        <f>SUM('Fane 3. Omkostninger i ØR2021'!E10,'Fane 3. Omkostninger i ØR2021'!E12,'Fane 3. Omkostninger i ØR2021'!E14)*(1+'Fane 12. Nøgletal'!C13)</f>
        <v>8146.1878268399996</v>
      </c>
      <c r="H30" s="14" t="s">
        <v>3</v>
      </c>
      <c r="I30" s="1"/>
    </row>
    <row r="31" spans="1:9" x14ac:dyDescent="0.25">
      <c r="A31" s="1"/>
      <c r="B31" s="111" t="s">
        <v>159</v>
      </c>
      <c r="C31" s="112"/>
      <c r="D31" s="112"/>
      <c r="E31" s="112"/>
      <c r="F31" s="113"/>
      <c r="G31" s="24">
        <f>(G29+G30)*'Fane 12. Nøgletal'!C29</f>
        <v>152112.60112260518</v>
      </c>
      <c r="H31" s="14" t="s">
        <v>3</v>
      </c>
      <c r="I31" s="1"/>
    </row>
    <row r="32" spans="1:9" x14ac:dyDescent="0.25">
      <c r="A32" s="1"/>
      <c r="B32" s="50"/>
      <c r="C32" s="51"/>
      <c r="D32" s="51"/>
      <c r="E32" s="51"/>
      <c r="F32" s="51"/>
      <c r="G32" s="51"/>
      <c r="H32" s="20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14" t="s">
        <v>176</v>
      </c>
      <c r="C34" s="115"/>
      <c r="D34" s="115"/>
      <c r="E34" s="115"/>
      <c r="F34" s="115"/>
      <c r="G34" s="115"/>
      <c r="H34" s="116"/>
      <c r="I34" s="1"/>
    </row>
    <row r="35" spans="1:9" x14ac:dyDescent="0.25">
      <c r="A35" s="1"/>
      <c r="B35" s="111" t="s">
        <v>80</v>
      </c>
      <c r="C35" s="112"/>
      <c r="D35" s="112"/>
      <c r="E35" s="112"/>
      <c r="F35" s="113"/>
      <c r="G35" s="24">
        <f>(G29+G30-G31)*(1+'Fane 12. Nøgletal'!C13)</f>
        <v>7544450.3679587459</v>
      </c>
      <c r="H35" s="14" t="s">
        <v>3</v>
      </c>
      <c r="I35" s="1"/>
    </row>
    <row r="36" spans="1:9" x14ac:dyDescent="0.25">
      <c r="A36" s="1"/>
      <c r="B36" s="37" t="s">
        <v>192</v>
      </c>
      <c r="C36" s="57"/>
      <c r="D36" s="57"/>
      <c r="E36" s="57"/>
      <c r="F36" s="58"/>
      <c r="G36" s="24">
        <f>SUM('Fane 2.1. Økonomisk ramme 2022'!C10)*(1+'Fane 12. Nøgletal'!C14)</f>
        <v>7958.9982367603379</v>
      </c>
      <c r="H36" s="14" t="s">
        <v>3</v>
      </c>
      <c r="I36" s="1"/>
    </row>
    <row r="37" spans="1:9" x14ac:dyDescent="0.25">
      <c r="A37" s="1"/>
      <c r="B37" s="111" t="s">
        <v>221</v>
      </c>
      <c r="C37" s="112"/>
      <c r="D37" s="112"/>
      <c r="E37" s="112"/>
      <c r="F37" s="113"/>
      <c r="G37" s="24">
        <f>SUM('Fane 2.1. Økonomisk ramme 2022'!C12,'Fane 2.1. Økonomisk ramme 2022'!C14,'Fane 2.1. Økonomisk ramme 2022'!C16)*(1+'Fane 12. Nøgletal'!C14)</f>
        <v>117665.76676477003</v>
      </c>
      <c r="H37" s="14" t="s">
        <v>3</v>
      </c>
      <c r="I37" s="1"/>
    </row>
    <row r="38" spans="1:9" x14ac:dyDescent="0.25">
      <c r="A38" s="1"/>
      <c r="B38" s="111" t="s">
        <v>177</v>
      </c>
      <c r="C38" s="112"/>
      <c r="D38" s="112"/>
      <c r="E38" s="112"/>
      <c r="F38" s="113"/>
      <c r="G38" s="24">
        <f>(G35+G37)*'Fane 12. Nøgletal'!C29</f>
        <v>153242.32269447032</v>
      </c>
      <c r="H38" s="14" t="s">
        <v>3</v>
      </c>
      <c r="I38" s="1"/>
    </row>
    <row r="39" spans="1:9" x14ac:dyDescent="0.25">
      <c r="A39" s="1"/>
      <c r="B39" s="50"/>
      <c r="C39" s="51"/>
      <c r="D39" s="51"/>
      <c r="E39" s="51"/>
      <c r="F39" s="51"/>
      <c r="G39" s="51"/>
      <c r="H39" s="20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14" t="s">
        <v>81</v>
      </c>
      <c r="C41" s="115"/>
      <c r="D41" s="115"/>
      <c r="E41" s="115"/>
      <c r="F41" s="115"/>
      <c r="G41" s="115"/>
      <c r="H41" s="116"/>
      <c r="I41" s="1"/>
    </row>
    <row r="42" spans="1:9" x14ac:dyDescent="0.25">
      <c r="A42" s="1"/>
      <c r="B42" s="111" t="s">
        <v>79</v>
      </c>
      <c r="C42" s="112"/>
      <c r="D42" s="112"/>
      <c r="E42" s="112"/>
      <c r="F42" s="113"/>
      <c r="G42" s="24">
        <f>(G35+G37-G38)*(1+'Fane 12. Nøgletal'!C14)</f>
        <v>7533653.0956087429</v>
      </c>
      <c r="H42" s="14" t="s">
        <v>3</v>
      </c>
      <c r="I42" s="1"/>
    </row>
    <row r="43" spans="1:9" x14ac:dyDescent="0.25">
      <c r="A43" s="1"/>
      <c r="B43" s="111" t="s">
        <v>92</v>
      </c>
      <c r="C43" s="112"/>
      <c r="D43" s="112"/>
      <c r="E43" s="112"/>
      <c r="F43" s="113"/>
      <c r="G43" s="9">
        <f>-'Fane 11. Bortfald'!C19*(1+'Fane 12. Nøgletal'!C14)</f>
        <v>0</v>
      </c>
      <c r="H43" s="14" t="s">
        <v>3</v>
      </c>
      <c r="I43" s="1"/>
    </row>
    <row r="44" spans="1:9" x14ac:dyDescent="0.25">
      <c r="A44" s="1"/>
      <c r="B44" s="111" t="s">
        <v>61</v>
      </c>
      <c r="C44" s="112"/>
      <c r="D44" s="112"/>
      <c r="E44" s="112"/>
      <c r="F44" s="113"/>
      <c r="G44" s="24">
        <f>(G42+G43)*'Fane 12. Nøgletal'!C29</f>
        <v>150673.06191217486</v>
      </c>
      <c r="H44" s="14" t="s">
        <v>3</v>
      </c>
      <c r="I44" s="1"/>
    </row>
    <row r="45" spans="1:9" x14ac:dyDescent="0.25">
      <c r="A45" s="1"/>
      <c r="B45" s="50"/>
      <c r="C45" s="51"/>
      <c r="D45" s="51"/>
      <c r="E45" s="51"/>
      <c r="F45" s="51"/>
      <c r="G45" s="51"/>
      <c r="H45" s="20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14" t="s">
        <v>148</v>
      </c>
      <c r="C47" s="115"/>
      <c r="D47" s="115"/>
      <c r="E47" s="115"/>
      <c r="F47" s="115"/>
      <c r="G47" s="115"/>
      <c r="H47" s="116"/>
      <c r="I47" s="1"/>
    </row>
    <row r="48" spans="1:9" x14ac:dyDescent="0.25">
      <c r="A48" s="1"/>
      <c r="B48" s="111" t="s">
        <v>149</v>
      </c>
      <c r="C48" s="112"/>
      <c r="D48" s="112"/>
      <c r="E48" s="112"/>
      <c r="F48" s="113"/>
      <c r="G48" s="24">
        <f>(G42+G43-G44)*(1+'Fane 12. Nøgletal'!C14)</f>
        <v>7407343.8678077674</v>
      </c>
      <c r="H48" s="14" t="s">
        <v>3</v>
      </c>
      <c r="I48" s="1"/>
    </row>
    <row r="49" spans="1:9" x14ac:dyDescent="0.25">
      <c r="A49" s="1"/>
      <c r="B49" s="111" t="s">
        <v>150</v>
      </c>
      <c r="C49" s="112"/>
      <c r="D49" s="112"/>
      <c r="E49" s="112"/>
      <c r="F49" s="113"/>
      <c r="G49" s="9">
        <f>-'Fane 11. Bortfald'!C26*(1+'Fane 12. Nøgletal'!C14)</f>
        <v>0</v>
      </c>
      <c r="H49" s="14" t="s">
        <v>3</v>
      </c>
      <c r="I49" s="1"/>
    </row>
    <row r="50" spans="1:9" x14ac:dyDescent="0.25">
      <c r="A50" s="1"/>
      <c r="B50" s="111" t="s">
        <v>151</v>
      </c>
      <c r="C50" s="112"/>
      <c r="D50" s="112"/>
      <c r="E50" s="112"/>
      <c r="F50" s="113"/>
      <c r="G50" s="24">
        <f>(G48+G49)*'Fane 12. Nøgletal'!C29</f>
        <v>148146.87735615534</v>
      </c>
      <c r="H50" s="14" t="s">
        <v>3</v>
      </c>
      <c r="I50" s="1"/>
    </row>
    <row r="51" spans="1:9" x14ac:dyDescent="0.25">
      <c r="A51" s="1"/>
      <c r="B51" s="50"/>
      <c r="C51" s="51"/>
      <c r="D51" s="51"/>
      <c r="E51" s="51"/>
      <c r="F51" s="51"/>
      <c r="G51" s="51"/>
      <c r="H51" s="20"/>
      <c r="I51" s="1"/>
    </row>
    <row r="52" spans="1:9" x14ac:dyDescent="0.25">
      <c r="A52" s="1"/>
      <c r="B52" s="1"/>
      <c r="C52" s="1"/>
      <c r="D52" s="1"/>
      <c r="E52" s="1"/>
      <c r="F52" s="1"/>
      <c r="G52" s="1"/>
      <c r="H52" s="1"/>
      <c r="I52" s="1"/>
    </row>
    <row r="53" spans="1:9" x14ac:dyDescent="0.25">
      <c r="A53" s="1"/>
      <c r="B53" s="114" t="s">
        <v>198</v>
      </c>
      <c r="C53" s="115"/>
      <c r="D53" s="115"/>
      <c r="E53" s="115"/>
      <c r="F53" s="115"/>
      <c r="G53" s="115"/>
      <c r="H53" s="116"/>
      <c r="I53" s="1"/>
    </row>
    <row r="54" spans="1:9" x14ac:dyDescent="0.25">
      <c r="A54" s="1"/>
      <c r="B54" s="111" t="s">
        <v>199</v>
      </c>
      <c r="C54" s="112"/>
      <c r="D54" s="112"/>
      <c r="E54" s="112"/>
      <c r="F54" s="113"/>
      <c r="G54" s="24">
        <f>(G48+G49-G50)*(1+'Fane 12. Nøgletal'!C14)</f>
        <v>7283152.3405201025</v>
      </c>
      <c r="H54" s="14" t="s">
        <v>3</v>
      </c>
      <c r="I54" s="1"/>
    </row>
    <row r="55" spans="1:9" x14ac:dyDescent="0.25">
      <c r="A55" s="1"/>
      <c r="B55" s="111" t="s">
        <v>200</v>
      </c>
      <c r="C55" s="112"/>
      <c r="D55" s="112"/>
      <c r="E55" s="112"/>
      <c r="F55" s="113"/>
      <c r="G55" s="9">
        <f>-'Fane 11. Bortfald'!C33*(1+'Fane 12. Nøgletal'!C14)</f>
        <v>0</v>
      </c>
      <c r="H55" s="14" t="s">
        <v>3</v>
      </c>
      <c r="I55" s="1"/>
    </row>
    <row r="56" spans="1:9" x14ac:dyDescent="0.25">
      <c r="A56" s="1"/>
      <c r="B56" s="111" t="s">
        <v>201</v>
      </c>
      <c r="C56" s="112"/>
      <c r="D56" s="112"/>
      <c r="E56" s="112"/>
      <c r="F56" s="113"/>
      <c r="G56" s="24">
        <f>(G54+G55)*'Fane 12. Nøgletal'!C29</f>
        <v>145663.04681040204</v>
      </c>
      <c r="H56" s="14" t="s">
        <v>3</v>
      </c>
      <c r="I56" s="1"/>
    </row>
    <row r="57" spans="1:9" x14ac:dyDescent="0.25">
      <c r="A57" s="1"/>
      <c r="B57" s="50"/>
      <c r="C57" s="51"/>
      <c r="D57" s="51"/>
      <c r="E57" s="51"/>
      <c r="F57" s="51"/>
      <c r="G57" s="51"/>
      <c r="H57" s="20"/>
      <c r="I57" s="1"/>
    </row>
  </sheetData>
  <sheetProtection algorithmName="SHA-512" hashValue="GKfFteqtXjgPXbqLPG/nabvtdKdWakoZZQUfdKM8MbhDeWW1mso5XThXcPR3CdRT4SqDKH2dYLJ4+BBjKEecuw==" saltValue="zAMPNSbX300kUMFFiAjiXw==" spinCount="100000" sheet="1" objects="1" scenarios="1"/>
  <mergeCells count="37">
    <mergeCell ref="B53:H53"/>
    <mergeCell ref="B54:F54"/>
    <mergeCell ref="B55:F55"/>
    <mergeCell ref="B56:F56"/>
    <mergeCell ref="B28:H28"/>
    <mergeCell ref="B29:F29"/>
    <mergeCell ref="B34:H34"/>
    <mergeCell ref="B38:F38"/>
    <mergeCell ref="B47:H47"/>
    <mergeCell ref="B48:F48"/>
    <mergeCell ref="B49:F49"/>
    <mergeCell ref="B50:F50"/>
    <mergeCell ref="B41:H41"/>
    <mergeCell ref="B42:F42"/>
    <mergeCell ref="B44:F44"/>
    <mergeCell ref="B37:F37"/>
    <mergeCell ref="B25:F25"/>
    <mergeCell ref="B35:F35"/>
    <mergeCell ref="B30:F30"/>
    <mergeCell ref="B31:F31"/>
    <mergeCell ref="B22:H22"/>
    <mergeCell ref="B43:F43"/>
    <mergeCell ref="B15:H15"/>
    <mergeCell ref="B1:H3"/>
    <mergeCell ref="B4:H4"/>
    <mergeCell ref="B5:F5"/>
    <mergeCell ref="B6:F6"/>
    <mergeCell ref="B10:F10"/>
    <mergeCell ref="B9:H9"/>
    <mergeCell ref="B11:F11"/>
    <mergeCell ref="B12:F12"/>
    <mergeCell ref="B16:F16"/>
    <mergeCell ref="B18:F18"/>
    <mergeCell ref="B17:F17"/>
    <mergeCell ref="B19:F19"/>
    <mergeCell ref="B23:F23"/>
    <mergeCell ref="B24:F24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61"/>
  <sheetViews>
    <sheetView showGridLines="0" view="pageLayout" zoomScaleNormal="12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9" style="2" customWidth="1"/>
    <col min="9" max="9" width="6.7109375" style="2" customWidth="1"/>
    <col min="10" max="16384" width="9.140625" style="2"/>
  </cols>
  <sheetData>
    <row r="1" spans="1:9" x14ac:dyDescent="0.25">
      <c r="A1" s="1"/>
      <c r="B1" s="120" t="s">
        <v>116</v>
      </c>
      <c r="C1" s="121"/>
      <c r="D1" s="121"/>
      <c r="E1" s="121"/>
      <c r="F1" s="121"/>
      <c r="G1" s="121"/>
      <c r="H1" s="121"/>
      <c r="I1" s="1"/>
    </row>
    <row r="2" spans="1:9" ht="19.899999999999999" customHeight="1" x14ac:dyDescent="0.25">
      <c r="A2" s="1"/>
      <c r="B2" s="121"/>
      <c r="C2" s="121"/>
      <c r="D2" s="121"/>
      <c r="E2" s="121"/>
      <c r="F2" s="121"/>
      <c r="G2" s="121"/>
      <c r="H2" s="121"/>
      <c r="I2" s="1"/>
    </row>
    <row r="3" spans="1:9" ht="15" customHeight="1" x14ac:dyDescent="0.25">
      <c r="A3" s="1"/>
      <c r="B3" s="122"/>
      <c r="C3" s="122"/>
      <c r="D3" s="122"/>
      <c r="E3" s="122"/>
      <c r="F3" s="122"/>
      <c r="G3" s="122"/>
      <c r="H3" s="122"/>
      <c r="I3" s="1"/>
    </row>
    <row r="4" spans="1:9" x14ac:dyDescent="0.25">
      <c r="A4" s="1"/>
      <c r="B4" s="114" t="s">
        <v>58</v>
      </c>
      <c r="C4" s="115"/>
      <c r="D4" s="115"/>
      <c r="E4" s="115"/>
      <c r="F4" s="115"/>
      <c r="G4" s="115"/>
      <c r="H4" s="116"/>
      <c r="I4" s="1"/>
    </row>
    <row r="5" spans="1:9" x14ac:dyDescent="0.25">
      <c r="A5" s="1"/>
      <c r="B5" s="111" t="s">
        <v>62</v>
      </c>
      <c r="C5" s="112"/>
      <c r="D5" s="112"/>
      <c r="E5" s="112"/>
      <c r="F5" s="113"/>
      <c r="G5" s="24">
        <v>12161356.945426397</v>
      </c>
      <c r="H5" s="14" t="s">
        <v>3</v>
      </c>
      <c r="I5" s="1"/>
    </row>
    <row r="6" spans="1:9" x14ac:dyDescent="0.25">
      <c r="A6" s="1"/>
      <c r="B6" s="111" t="s">
        <v>59</v>
      </c>
      <c r="C6" s="112"/>
      <c r="D6" s="112"/>
      <c r="E6" s="112"/>
      <c r="F6" s="113"/>
      <c r="G6" s="24">
        <f>G5*'Fane 12. Nøgletal'!C19</f>
        <v>110668.34820338021</v>
      </c>
      <c r="H6" s="14" t="s">
        <v>3</v>
      </c>
      <c r="I6" s="1"/>
    </row>
    <row r="7" spans="1:9" x14ac:dyDescent="0.25">
      <c r="A7" s="1"/>
      <c r="B7" s="50"/>
      <c r="C7" s="51"/>
      <c r="D7" s="51"/>
      <c r="E7" s="51"/>
      <c r="F7" s="51"/>
      <c r="G7" s="51"/>
      <c r="H7" s="20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"/>
      <c r="B9" s="114" t="s">
        <v>63</v>
      </c>
      <c r="C9" s="115"/>
      <c r="D9" s="115"/>
      <c r="E9" s="115"/>
      <c r="F9" s="115"/>
      <c r="G9" s="115"/>
      <c r="H9" s="116"/>
      <c r="I9" s="1"/>
    </row>
    <row r="10" spans="1:9" x14ac:dyDescent="0.25">
      <c r="A10" s="1"/>
      <c r="B10" s="111" t="s">
        <v>64</v>
      </c>
      <c r="C10" s="112"/>
      <c r="D10" s="112"/>
      <c r="E10" s="112"/>
      <c r="F10" s="113"/>
      <c r="G10" s="24">
        <f>(G5-G6)*(1+'Fane 12. Nøgletal'!C9)</f>
        <v>12203732.342407748</v>
      </c>
      <c r="H10" s="14" t="s">
        <v>3</v>
      </c>
      <c r="I10" s="1"/>
    </row>
    <row r="11" spans="1:9" x14ac:dyDescent="0.25">
      <c r="A11" s="1"/>
      <c r="B11" s="117" t="s">
        <v>65</v>
      </c>
      <c r="C11" s="118"/>
      <c r="D11" s="118"/>
      <c r="E11" s="118"/>
      <c r="F11" s="119"/>
      <c r="G11" s="9">
        <v>0</v>
      </c>
      <c r="H11" s="14" t="s">
        <v>3</v>
      </c>
      <c r="I11" s="1"/>
    </row>
    <row r="12" spans="1:9" x14ac:dyDescent="0.25">
      <c r="A12" s="1"/>
      <c r="B12" s="111" t="s">
        <v>66</v>
      </c>
      <c r="C12" s="112"/>
      <c r="D12" s="112"/>
      <c r="E12" s="112"/>
      <c r="F12" s="113"/>
      <c r="G12" s="24">
        <f>G10*'Fane 12. Nøgletal'!C19+G11*'Fane 12. Nøgletal'!C20</f>
        <v>111053.96431591052</v>
      </c>
      <c r="H12" s="14" t="s">
        <v>3</v>
      </c>
      <c r="I12" s="1"/>
    </row>
    <row r="13" spans="1:9" x14ac:dyDescent="0.25">
      <c r="A13" s="1"/>
      <c r="B13" s="50"/>
      <c r="C13" s="51"/>
      <c r="D13" s="51"/>
      <c r="E13" s="51"/>
      <c r="F13" s="51"/>
      <c r="G13" s="51"/>
      <c r="H13" s="20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14" t="s">
        <v>67</v>
      </c>
      <c r="C15" s="115"/>
      <c r="D15" s="115"/>
      <c r="E15" s="115"/>
      <c r="F15" s="115"/>
      <c r="G15" s="115"/>
      <c r="H15" s="116"/>
      <c r="I15" s="1"/>
    </row>
    <row r="16" spans="1:9" x14ac:dyDescent="0.25">
      <c r="A16" s="1"/>
      <c r="B16" s="111" t="s">
        <v>68</v>
      </c>
      <c r="C16" s="112"/>
      <c r="D16" s="112"/>
      <c r="E16" s="112"/>
      <c r="F16" s="113"/>
      <c r="G16" s="24">
        <f>(G10+G11-G12)*(1+'Fane 12. Nøgletal'!C11)</f>
        <v>12297044.642681589</v>
      </c>
      <c r="H16" s="14" t="s">
        <v>3</v>
      </c>
      <c r="I16" s="1"/>
    </row>
    <row r="17" spans="1:9" x14ac:dyDescent="0.25">
      <c r="A17" s="1"/>
      <c r="B17" s="111" t="s">
        <v>126</v>
      </c>
      <c r="C17" s="112"/>
      <c r="D17" s="112"/>
      <c r="E17" s="112"/>
      <c r="F17" s="113"/>
      <c r="G17" s="24">
        <v>483361.9608949417</v>
      </c>
      <c r="H17" s="14" t="s">
        <v>3</v>
      </c>
      <c r="I17" s="1"/>
    </row>
    <row r="18" spans="1:9" x14ac:dyDescent="0.25">
      <c r="A18" s="1"/>
      <c r="B18" s="117" t="s">
        <v>69</v>
      </c>
      <c r="C18" s="118"/>
      <c r="D18" s="118"/>
      <c r="E18" s="118"/>
      <c r="F18" s="119"/>
      <c r="G18" s="24">
        <v>369987.55857311992</v>
      </c>
      <c r="H18" s="14" t="s">
        <v>3</v>
      </c>
      <c r="I18" s="1"/>
    </row>
    <row r="19" spans="1:9" x14ac:dyDescent="0.25">
      <c r="A19" s="1"/>
      <c r="B19" s="111" t="s">
        <v>70</v>
      </c>
      <c r="C19" s="112"/>
      <c r="D19" s="112"/>
      <c r="E19" s="112"/>
      <c r="F19" s="113"/>
      <c r="G19" s="24">
        <f>(G16+G17+G18)*'Fane 12. Nøgletal'!C21</f>
        <v>114408.42921070196</v>
      </c>
      <c r="H19" s="14" t="s">
        <v>3</v>
      </c>
      <c r="I19" s="1"/>
    </row>
    <row r="20" spans="1:9" x14ac:dyDescent="0.25">
      <c r="A20" s="1"/>
      <c r="B20" s="50"/>
      <c r="C20" s="51"/>
      <c r="D20" s="51"/>
      <c r="E20" s="51"/>
      <c r="F20" s="51"/>
      <c r="G20" s="51"/>
      <c r="H20" s="20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14" t="s">
        <v>71</v>
      </c>
      <c r="C22" s="115"/>
      <c r="D22" s="115"/>
      <c r="E22" s="115"/>
      <c r="F22" s="115"/>
      <c r="G22" s="115"/>
      <c r="H22" s="116"/>
      <c r="I22" s="1"/>
    </row>
    <row r="23" spans="1:9" x14ac:dyDescent="0.25">
      <c r="A23" s="1"/>
      <c r="B23" s="111" t="s">
        <v>72</v>
      </c>
      <c r="C23" s="112"/>
      <c r="D23" s="112"/>
      <c r="E23" s="112"/>
      <c r="F23" s="113"/>
      <c r="G23" s="24">
        <f>(SUM(G16:G18)-G19)*(1+'Fane 12. Nøgletal'!C11)</f>
        <v>13256293.891825616</v>
      </c>
      <c r="H23" s="14" t="s">
        <v>3</v>
      </c>
      <c r="I23" s="1"/>
    </row>
    <row r="24" spans="1:9" x14ac:dyDescent="0.25">
      <c r="A24" s="1"/>
      <c r="B24" s="117" t="s">
        <v>73</v>
      </c>
      <c r="C24" s="118"/>
      <c r="D24" s="118"/>
      <c r="E24" s="118"/>
      <c r="F24" s="119"/>
      <c r="G24" s="24">
        <v>155979.44321137198</v>
      </c>
      <c r="H24" s="14" t="s">
        <v>3</v>
      </c>
      <c r="I24" s="1"/>
    </row>
    <row r="25" spans="1:9" x14ac:dyDescent="0.25">
      <c r="A25" s="1"/>
      <c r="B25" s="111" t="s">
        <v>74</v>
      </c>
      <c r="C25" s="112"/>
      <c r="D25" s="112"/>
      <c r="E25" s="112"/>
      <c r="F25" s="113"/>
      <c r="G25" s="24">
        <f>G23*'Fane 12. Nøgletal'!C21+G24*'Fane 12. Nøgletal'!C22</f>
        <v>119759.57304608582</v>
      </c>
      <c r="H25" s="14" t="s">
        <v>3</v>
      </c>
      <c r="I25" s="1"/>
    </row>
    <row r="26" spans="1:9" x14ac:dyDescent="0.25">
      <c r="A26" s="1"/>
      <c r="B26" s="50"/>
      <c r="C26" s="51"/>
      <c r="D26" s="51"/>
      <c r="E26" s="51"/>
      <c r="F26" s="51"/>
      <c r="G26" s="51"/>
      <c r="H26" s="20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14" t="s">
        <v>173</v>
      </c>
      <c r="C28" s="115"/>
      <c r="D28" s="115"/>
      <c r="E28" s="115"/>
      <c r="F28" s="115"/>
      <c r="G28" s="115"/>
      <c r="H28" s="116"/>
      <c r="I28" s="1"/>
    </row>
    <row r="29" spans="1:9" x14ac:dyDescent="0.25">
      <c r="A29" s="1"/>
      <c r="B29" s="111" t="s">
        <v>75</v>
      </c>
      <c r="C29" s="112"/>
      <c r="D29" s="112"/>
      <c r="E29" s="112"/>
      <c r="F29" s="113"/>
      <c r="G29" s="24">
        <f>(G23+G24-G25)*(1+'Fane 12. Nøgletal'!C13)</f>
        <v>13454682.42988719</v>
      </c>
      <c r="H29" s="14" t="s">
        <v>3</v>
      </c>
      <c r="I29" s="1"/>
    </row>
    <row r="30" spans="1:9" x14ac:dyDescent="0.25">
      <c r="A30" s="1"/>
      <c r="B30" s="111" t="s">
        <v>152</v>
      </c>
      <c r="C30" s="112"/>
      <c r="D30" s="112"/>
      <c r="E30" s="112"/>
      <c r="F30" s="113"/>
      <c r="G30" s="24">
        <v>3610.5101121600001</v>
      </c>
      <c r="H30" s="14" t="s">
        <v>3</v>
      </c>
      <c r="I30" s="1"/>
    </row>
    <row r="31" spans="1:9" x14ac:dyDescent="0.25">
      <c r="A31" s="1"/>
      <c r="B31" s="111" t="s">
        <v>174</v>
      </c>
      <c r="C31" s="112"/>
      <c r="D31" s="112"/>
      <c r="E31" s="112"/>
      <c r="F31" s="113"/>
      <c r="G31" s="24">
        <f>(G29+G30)*'Fane 12. Nøgletal'!C23</f>
        <v>370103.05584998213</v>
      </c>
      <c r="H31" s="14" t="s">
        <v>3</v>
      </c>
      <c r="I31" s="1"/>
    </row>
    <row r="32" spans="1:9" x14ac:dyDescent="0.25">
      <c r="A32" s="1"/>
      <c r="B32" s="50"/>
      <c r="C32" s="51"/>
      <c r="D32" s="51"/>
      <c r="E32" s="51"/>
      <c r="F32" s="51"/>
      <c r="G32" s="51"/>
      <c r="H32" s="20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14" t="s">
        <v>178</v>
      </c>
      <c r="C34" s="115"/>
      <c r="D34" s="115"/>
      <c r="E34" s="115"/>
      <c r="F34" s="115"/>
      <c r="G34" s="115"/>
      <c r="H34" s="116"/>
      <c r="I34" s="1"/>
    </row>
    <row r="35" spans="1:9" x14ac:dyDescent="0.25">
      <c r="A35" s="1"/>
      <c r="B35" s="111" t="s">
        <v>78</v>
      </c>
      <c r="C35" s="112"/>
      <c r="D35" s="112"/>
      <c r="E35" s="112"/>
      <c r="F35" s="113"/>
      <c r="G35" s="24">
        <f>(G29+G30-G31)*(1+'Fane 12. Nøgletal'!C13)</f>
        <v>13247865.800735991</v>
      </c>
      <c r="H35" s="14" t="s">
        <v>3</v>
      </c>
      <c r="I35" s="1"/>
    </row>
    <row r="36" spans="1:9" s="41" customFormat="1" x14ac:dyDescent="0.25">
      <c r="A36" s="38"/>
      <c r="B36" s="37" t="s">
        <v>222</v>
      </c>
      <c r="C36" s="39"/>
      <c r="D36" s="39"/>
      <c r="E36" s="39"/>
      <c r="F36" s="40"/>
      <c r="G36" s="42">
        <f>SUM('Fane 2.1. Økonomisk ramme 2022'!C11)*(1+'Fane 12. Nøgletal'!C14)</f>
        <v>3500.3767500596132</v>
      </c>
      <c r="H36" s="14" t="s">
        <v>3</v>
      </c>
      <c r="I36" s="38"/>
    </row>
    <row r="37" spans="1:9" x14ac:dyDescent="0.25">
      <c r="A37" s="1"/>
      <c r="B37" s="111" t="s">
        <v>193</v>
      </c>
      <c r="C37" s="112"/>
      <c r="D37" s="112"/>
      <c r="E37" s="112"/>
      <c r="F37" s="113"/>
      <c r="G37" s="24">
        <f>SUM('Fane 2.1. Økonomisk ramme 2022'!C13,'Fane 2.1. Økonomisk ramme 2022'!C15,'Fane 2.1. Økonomisk ramme 2022'!C17)*(1+'Fane 12. Nøgletal'!C14)</f>
        <v>352873.48715484003</v>
      </c>
      <c r="H37" s="14" t="s">
        <v>3</v>
      </c>
      <c r="I37" s="1"/>
    </row>
    <row r="38" spans="1:9" x14ac:dyDescent="0.25">
      <c r="A38" s="1"/>
      <c r="B38" s="111" t="s">
        <v>179</v>
      </c>
      <c r="C38" s="112"/>
      <c r="D38" s="112"/>
      <c r="E38" s="112"/>
      <c r="F38" s="113"/>
      <c r="G38" s="24">
        <f>G35*'Fane 12. Nøgletal'!C23+G37*'Fane 12. Nøgletal'!C24</f>
        <v>369538.83713013137</v>
      </c>
      <c r="H38" s="14" t="s">
        <v>3</v>
      </c>
      <c r="I38" s="1"/>
    </row>
    <row r="39" spans="1:9" x14ac:dyDescent="0.25">
      <c r="A39" s="1"/>
      <c r="B39" s="50"/>
      <c r="C39" s="51"/>
      <c r="D39" s="51"/>
      <c r="E39" s="51"/>
      <c r="F39" s="51"/>
      <c r="G39" s="51"/>
      <c r="H39" s="20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14" t="s">
        <v>82</v>
      </c>
      <c r="C41" s="115"/>
      <c r="D41" s="115"/>
      <c r="E41" s="115"/>
      <c r="F41" s="115"/>
      <c r="G41" s="115"/>
      <c r="H41" s="116"/>
      <c r="I41" s="1"/>
    </row>
    <row r="42" spans="1:9" x14ac:dyDescent="0.25">
      <c r="A42" s="1"/>
      <c r="B42" s="111" t="s">
        <v>77</v>
      </c>
      <c r="C42" s="112"/>
      <c r="D42" s="112"/>
      <c r="E42" s="112"/>
      <c r="F42" s="113"/>
      <c r="G42" s="24">
        <f>(G35+G37-G38)*(1+'Fane 12. Nøgletal'!C14)</f>
        <v>13274863.412248211</v>
      </c>
      <c r="H42" s="14" t="s">
        <v>3</v>
      </c>
      <c r="I42" s="1"/>
    </row>
    <row r="43" spans="1:9" x14ac:dyDescent="0.25">
      <c r="A43" s="1"/>
      <c r="B43" s="111" t="s">
        <v>96</v>
      </c>
      <c r="C43" s="112"/>
      <c r="D43" s="112"/>
      <c r="E43" s="112"/>
      <c r="F43" s="113"/>
      <c r="G43" s="9">
        <f>-'Fane 11. Bortfald'!E19*(1+'Fane 12. Nøgletal'!C14)</f>
        <v>0</v>
      </c>
      <c r="H43" s="14" t="s">
        <v>3</v>
      </c>
      <c r="I43" s="1"/>
    </row>
    <row r="44" spans="1:9" x14ac:dyDescent="0.25">
      <c r="A44" s="1"/>
      <c r="B44" s="111" t="s">
        <v>76</v>
      </c>
      <c r="C44" s="112"/>
      <c r="D44" s="112"/>
      <c r="E44" s="112"/>
      <c r="F44" s="113"/>
      <c r="G44" s="24">
        <f>(G42+G43)*'Fane 12. Nøgletal'!C24</f>
        <v>196467.97850127352</v>
      </c>
      <c r="H44" s="14" t="s">
        <v>3</v>
      </c>
      <c r="I44" s="1"/>
    </row>
    <row r="45" spans="1:9" x14ac:dyDescent="0.25">
      <c r="A45" s="1"/>
      <c r="B45" s="50"/>
      <c r="C45" s="51"/>
      <c r="D45" s="51"/>
      <c r="E45" s="51"/>
      <c r="F45" s="51"/>
      <c r="G45" s="51"/>
      <c r="H45" s="20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25">
      <c r="A51" s="1"/>
      <c r="B51" s="114" t="s">
        <v>153</v>
      </c>
      <c r="C51" s="115"/>
      <c r="D51" s="115"/>
      <c r="E51" s="115"/>
      <c r="F51" s="115"/>
      <c r="G51" s="115"/>
      <c r="H51" s="116"/>
      <c r="I51" s="1"/>
    </row>
    <row r="52" spans="1:9" x14ac:dyDescent="0.25">
      <c r="A52" s="1"/>
      <c r="B52" s="111" t="s">
        <v>154</v>
      </c>
      <c r="C52" s="112"/>
      <c r="D52" s="112"/>
      <c r="E52" s="112"/>
      <c r="F52" s="113"/>
      <c r="G52" s="24">
        <f>(G42+G43-G44)*(1+'Fane 12. Nøgletal'!C14)</f>
        <v>13121554.138678303</v>
      </c>
      <c r="H52" s="14" t="s">
        <v>3</v>
      </c>
      <c r="I52" s="1"/>
    </row>
    <row r="53" spans="1:9" x14ac:dyDescent="0.25">
      <c r="A53" s="1"/>
      <c r="B53" s="111" t="s">
        <v>155</v>
      </c>
      <c r="C53" s="112"/>
      <c r="D53" s="112"/>
      <c r="E53" s="112"/>
      <c r="F53" s="113"/>
      <c r="G53" s="9">
        <f>-'Fane 11. Bortfald'!E26*(1+'Fane 12. Nøgletal'!C13)</f>
        <v>0</v>
      </c>
      <c r="H53" s="14" t="s">
        <v>3</v>
      </c>
      <c r="I53" s="1"/>
    </row>
    <row r="54" spans="1:9" x14ac:dyDescent="0.25">
      <c r="A54" s="1"/>
      <c r="B54" s="111" t="s">
        <v>156</v>
      </c>
      <c r="C54" s="112"/>
      <c r="D54" s="112"/>
      <c r="E54" s="112"/>
      <c r="F54" s="113"/>
      <c r="G54" s="24">
        <f>(G52+G53)*'Fane 12. Nøgletal'!C24</f>
        <v>194199.0012524389</v>
      </c>
      <c r="H54" s="14" t="s">
        <v>3</v>
      </c>
      <c r="I54" s="1"/>
    </row>
    <row r="55" spans="1:9" x14ac:dyDescent="0.25">
      <c r="A55" s="1"/>
      <c r="B55" s="50"/>
      <c r="C55" s="51"/>
      <c r="D55" s="51"/>
      <c r="E55" s="51"/>
      <c r="F55" s="51"/>
      <c r="G55" s="51"/>
      <c r="H55" s="20"/>
      <c r="I55" s="1"/>
    </row>
    <row r="56" spans="1:9" x14ac:dyDescent="0.25">
      <c r="A56" s="1"/>
      <c r="B56" s="1"/>
      <c r="C56" s="1"/>
      <c r="D56" s="1"/>
      <c r="E56" s="1"/>
      <c r="F56" s="1"/>
      <c r="G56" s="1"/>
      <c r="H56" s="1"/>
      <c r="I56" s="1"/>
    </row>
    <row r="57" spans="1:9" x14ac:dyDescent="0.25">
      <c r="A57" s="1"/>
      <c r="B57" s="114" t="s">
        <v>194</v>
      </c>
      <c r="C57" s="115"/>
      <c r="D57" s="115"/>
      <c r="E57" s="115"/>
      <c r="F57" s="115"/>
      <c r="G57" s="115"/>
      <c r="H57" s="116"/>
      <c r="I57" s="1"/>
    </row>
    <row r="58" spans="1:9" x14ac:dyDescent="0.25">
      <c r="A58" s="1"/>
      <c r="B58" s="111" t="s">
        <v>195</v>
      </c>
      <c r="C58" s="112"/>
      <c r="D58" s="112"/>
      <c r="E58" s="112"/>
      <c r="F58" s="113"/>
      <c r="G58" s="24">
        <f>(G52+G53-G54)*(1+'Fane 12. Nøgletal'!C14)</f>
        <v>12970015.409379371</v>
      </c>
      <c r="H58" s="14" t="s">
        <v>3</v>
      </c>
      <c r="I58" s="1"/>
    </row>
    <row r="59" spans="1:9" x14ac:dyDescent="0.25">
      <c r="A59" s="1"/>
      <c r="B59" s="111" t="s">
        <v>196</v>
      </c>
      <c r="C59" s="112"/>
      <c r="D59" s="112"/>
      <c r="E59" s="112"/>
      <c r="F59" s="113"/>
      <c r="G59" s="9">
        <f>-'Fane 11. Bortfald'!E33*(1+'Fane 12. Nøgletal'!C14)</f>
        <v>0</v>
      </c>
      <c r="H59" s="14" t="s">
        <v>3</v>
      </c>
      <c r="I59" s="1"/>
    </row>
    <row r="60" spans="1:9" x14ac:dyDescent="0.25">
      <c r="A60" s="1"/>
      <c r="B60" s="111" t="s">
        <v>197</v>
      </c>
      <c r="C60" s="112"/>
      <c r="D60" s="112"/>
      <c r="E60" s="112"/>
      <c r="F60" s="113"/>
      <c r="G60" s="24">
        <f>(G58+G59)*'Fane 12. Nøgletal'!C24</f>
        <v>191956.22805881468</v>
      </c>
      <c r="H60" s="14" t="s">
        <v>3</v>
      </c>
      <c r="I60" s="1"/>
    </row>
    <row r="61" spans="1:9" x14ac:dyDescent="0.25">
      <c r="A61" s="1"/>
      <c r="B61" s="50"/>
      <c r="C61" s="51"/>
      <c r="D61" s="51"/>
      <c r="E61" s="51"/>
      <c r="F61" s="51"/>
      <c r="G61" s="51"/>
      <c r="H61" s="20"/>
      <c r="I61" s="1"/>
    </row>
  </sheetData>
  <sheetProtection algorithmName="SHA-512" hashValue="3Ghz4LiCWezhqPpDcz+jU25nknG9/eDuZh6VyPmsMyePXmwp0WXoY36amyQEYGNNzvzpW3id+mh4e/6UfwXxgw==" saltValue="6VUqDq+CCFCiqWbYySAXdA==" spinCount="100000" sheet="1" objects="1" scenarios="1"/>
  <mergeCells count="37">
    <mergeCell ref="B1:H3"/>
    <mergeCell ref="B57:H57"/>
    <mergeCell ref="B58:F58"/>
    <mergeCell ref="B59:F59"/>
    <mergeCell ref="B60:F60"/>
    <mergeCell ref="B35:F35"/>
    <mergeCell ref="B44:F44"/>
    <mergeCell ref="B19:F19"/>
    <mergeCell ref="B4:H4"/>
    <mergeCell ref="B5:F5"/>
    <mergeCell ref="B6:F6"/>
    <mergeCell ref="B9:H9"/>
    <mergeCell ref="B10:F10"/>
    <mergeCell ref="B11:F11"/>
    <mergeCell ref="B12:F12"/>
    <mergeCell ref="B15:H15"/>
    <mergeCell ref="B16:F16"/>
    <mergeCell ref="B18:F18"/>
    <mergeCell ref="B30:F30"/>
    <mergeCell ref="B17:F17"/>
    <mergeCell ref="B51:H51"/>
    <mergeCell ref="B28:H28"/>
    <mergeCell ref="B29:F29"/>
    <mergeCell ref="B31:F31"/>
    <mergeCell ref="B34:H34"/>
    <mergeCell ref="B22:H22"/>
    <mergeCell ref="B23:F23"/>
    <mergeCell ref="B24:F24"/>
    <mergeCell ref="B25:F25"/>
    <mergeCell ref="B52:F52"/>
    <mergeCell ref="B53:F53"/>
    <mergeCell ref="B54:F54"/>
    <mergeCell ref="B37:F37"/>
    <mergeCell ref="B43:F43"/>
    <mergeCell ref="B42:F42"/>
    <mergeCell ref="B41:H41"/>
    <mergeCell ref="B38:F38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5" width="9.140625" style="2"/>
    <col min="6" max="6" width="19.85546875" style="2" customWidth="1"/>
    <col min="7" max="7" width="10.285156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8" t="s">
        <v>91</v>
      </c>
      <c r="C3" s="88"/>
      <c r="D3" s="88"/>
      <c r="E3" s="88"/>
      <c r="F3" s="88"/>
      <c r="G3" s="88"/>
      <c r="H3" s="88"/>
      <c r="I3" s="1"/>
    </row>
    <row r="4" spans="1:9" ht="15" customHeight="1" x14ac:dyDescent="0.25">
      <c r="A4" s="1"/>
      <c r="B4" s="88"/>
      <c r="C4" s="88"/>
      <c r="D4" s="88"/>
      <c r="E4" s="88"/>
      <c r="F4" s="88"/>
      <c r="G4" s="88"/>
      <c r="H4" s="8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114" t="s">
        <v>9</v>
      </c>
      <c r="C8" s="115"/>
      <c r="D8" s="115"/>
      <c r="E8" s="115"/>
      <c r="F8" s="115"/>
      <c r="G8" s="115"/>
      <c r="H8" s="116"/>
      <c r="I8" s="1"/>
    </row>
    <row r="9" spans="1:9" x14ac:dyDescent="0.25">
      <c r="A9" s="1"/>
      <c r="B9" s="111" t="s">
        <v>105</v>
      </c>
      <c r="C9" s="112"/>
      <c r="D9" s="112"/>
      <c r="E9" s="112"/>
      <c r="F9" s="113"/>
      <c r="G9" s="44">
        <v>1.8362159473397147E-2</v>
      </c>
      <c r="H9" s="14"/>
      <c r="I9" s="1"/>
    </row>
    <row r="10" spans="1:9" x14ac:dyDescent="0.25">
      <c r="A10" s="1"/>
      <c r="B10" s="111" t="s">
        <v>141</v>
      </c>
      <c r="C10" s="112"/>
      <c r="D10" s="112"/>
      <c r="E10" s="112"/>
      <c r="F10" s="113"/>
      <c r="G10" s="44">
        <v>6.1923614318000449E-3</v>
      </c>
      <c r="H10" s="14"/>
      <c r="I10" s="1"/>
    </row>
    <row r="11" spans="1:9" x14ac:dyDescent="0.25">
      <c r="A11" s="1"/>
      <c r="B11" s="50"/>
      <c r="C11" s="51"/>
      <c r="D11" s="51"/>
      <c r="E11" s="51"/>
      <c r="F11" s="51"/>
      <c r="G11" s="51"/>
      <c r="H11" s="20"/>
      <c r="I11" s="1"/>
    </row>
    <row r="12" spans="1:9" ht="14.25" customHeight="1" x14ac:dyDescent="0.25">
      <c r="A12" s="1"/>
      <c r="B12" s="123" t="s">
        <v>191</v>
      </c>
      <c r="C12" s="124"/>
      <c r="D12" s="124"/>
      <c r="E12" s="124"/>
      <c r="F12" s="124"/>
      <c r="G12" s="124"/>
      <c r="H12" s="125"/>
      <c r="I12" s="1"/>
    </row>
    <row r="13" spans="1:9" ht="12.75" customHeight="1" x14ac:dyDescent="0.25">
      <c r="A13" s="18"/>
      <c r="B13" s="126"/>
      <c r="C13" s="127"/>
      <c r="D13" s="127"/>
      <c r="E13" s="127"/>
      <c r="F13" s="127"/>
      <c r="G13" s="127"/>
      <c r="H13" s="128"/>
      <c r="I13" s="18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algorithmName="SHA-512" hashValue="9r9CGjv+s++XCdf+HKCBJVwK4OQFuL7geDXgoejri8wbjabGgAB2iwnRN7K9b+EDdPWb9LrzaIarGXKHYW5p/g==" saltValue="HlUoh5ajHHJK3HT/S6+0ow==" spinCount="100000" sheet="1" objects="1" scenarios="1"/>
  <mergeCells count="5">
    <mergeCell ref="B3:H4"/>
    <mergeCell ref="B9:F9"/>
    <mergeCell ref="B8:H8"/>
    <mergeCell ref="B10:F10"/>
    <mergeCell ref="B12:H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17</vt:i4>
      </vt:variant>
    </vt:vector>
  </HeadingPairs>
  <TitlesOfParts>
    <vt:vector size="17" baseType="lpstr">
      <vt:lpstr>1. Forside</vt:lpstr>
      <vt:lpstr>Fane 2.1. Økonomisk ramme 2022</vt:lpstr>
      <vt:lpstr>Fane 2.2. Økonomisk ramme 2023</vt:lpstr>
      <vt:lpstr>Fane 2.3. Økonomisk ramme 2024</vt:lpstr>
      <vt:lpstr>Fane 2.4. Økonomisk ramme 2025</vt:lpstr>
      <vt:lpstr>Fane 3. Omkostninger i ØR2021</vt:lpstr>
      <vt:lpstr>Fane 4.1. Gen. krav - drift</vt:lpstr>
      <vt:lpstr>Fane 4.2. Gen. krav - anlæg</vt:lpstr>
      <vt:lpstr>Fane 5. Individuelt eff. krav</vt:lpstr>
      <vt:lpstr>Fane 6. Ikke-påvirkelige omk.</vt:lpstr>
      <vt:lpstr>Fane 7. Kontrol af ØR2020</vt:lpstr>
      <vt:lpstr>Fane 8. Anlægsprojekter</vt:lpstr>
      <vt:lpstr>Fane 9.1. Varige tillæg</vt:lpstr>
      <vt:lpstr>Fane 9.2. Engangstillæg</vt:lpstr>
      <vt:lpstr>Fane 10. Tilknyttet virksomhed</vt:lpstr>
      <vt:lpstr>Fane 11. Bortfald</vt:lpstr>
      <vt:lpstr>Fane 12.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Katrine Stagaard</cp:lastModifiedBy>
  <cp:lastPrinted>2016-06-14T12:57:30Z</cp:lastPrinted>
  <dcterms:created xsi:type="dcterms:W3CDTF">2016-06-02T08:51:18Z</dcterms:created>
  <dcterms:modified xsi:type="dcterms:W3CDTF">2021-10-11T13:15:15Z</dcterms:modified>
</cp:coreProperties>
</file>