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uresø AS (S027)\ØR2023\"/>
    </mc:Choice>
  </mc:AlternateContent>
  <xr:revisionPtr revIDLastSave="0" documentId="13_ncr:1_{9A657B55-DE10-485D-98D6-DA0C52F0E3D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G46" i="36" l="1"/>
  <c r="G41" i="36" l="1"/>
  <c r="E12" i="37"/>
  <c r="G47" i="30"/>
  <c r="G48" i="30" s="1"/>
  <c r="C20" i="2" s="1"/>
  <c r="E6" i="37" l="1"/>
  <c r="E13" i="37"/>
  <c r="C36" i="2" l="1"/>
  <c r="C24" i="2"/>
  <c r="C16" i="19" l="1"/>
  <c r="C9" i="2" l="1"/>
  <c r="C21" i="23"/>
  <c r="C21" i="22"/>
  <c r="C22" i="15"/>
  <c r="C38" i="2"/>
  <c r="G18" i="41" l="1"/>
  <c r="E26" i="32" l="1"/>
  <c r="E34" i="32" l="1"/>
  <c r="E36" i="32" s="1"/>
  <c r="C19" i="23" s="1"/>
  <c r="E30" i="32"/>
  <c r="F10" i="11"/>
  <c r="C20" i="15" l="1"/>
  <c r="C19" i="22"/>
  <c r="J11" i="11" l="1"/>
  <c r="H11" i="11"/>
  <c r="C17" i="19" l="1"/>
  <c r="C15" i="23" l="1"/>
  <c r="C15" i="22"/>
  <c r="C16" i="15"/>
  <c r="G34" i="30"/>
  <c r="C11" i="2"/>
  <c r="C10" i="2"/>
  <c r="C10" i="37" l="1"/>
  <c r="C13" i="37" s="1"/>
  <c r="G7" i="30" l="1"/>
  <c r="G11" i="30" s="1"/>
  <c r="E10" i="39" l="1"/>
  <c r="E11" i="39" s="1"/>
  <c r="C10" i="39"/>
  <c r="C11" i="39" s="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5" i="36" l="1"/>
  <c r="F11" i="11" l="1"/>
  <c r="E10"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2" i="30" l="1"/>
  <c r="E14" i="37"/>
  <c r="G46" i="30" l="1"/>
  <c r="C13" i="2"/>
  <c r="C18" i="2" l="1"/>
  <c r="C19" i="2"/>
  <c r="G47" i="36"/>
  <c r="G51" i="36" l="1"/>
  <c r="G52" i="36" s="1"/>
  <c r="C13" i="15" s="1"/>
  <c r="C21" i="2"/>
  <c r="G53" i="30"/>
  <c r="G54" i="30" l="1"/>
  <c r="G58" i="30" s="1"/>
  <c r="G56" i="36"/>
  <c r="C22" i="2"/>
  <c r="C39" i="2" s="1"/>
  <c r="C12" i="15" l="1"/>
  <c r="G59" i="30"/>
  <c r="G63" i="30" s="1"/>
  <c r="G64" i="30" s="1"/>
  <c r="G57" i="36"/>
  <c r="C12" i="2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<sst xmlns="http://schemas.openxmlformats.org/spreadsheetml/2006/main" count="634" uniqueCount="297">
  <si>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</si>
  <si>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</si>
  <si>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</si>
  <si>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</si>
  <si>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</si>
  <si>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</si>
  <si>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</si>
  <si>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</si>
  <si>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</si>
  <si>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</si>
  <si>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</si>
  <si>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</si>
  <si>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</si>
  <si>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</si>
  <si>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</si>
  <si>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</si>
  <si>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</si>
  <si>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</si>
  <si>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</si>
  <si>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</si>
  <si>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</si>
  <si>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</si>
  <si>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</si>
  <si>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</si>
  <si>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</si>
  <si>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</si>
  <si>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</si>
  <si>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</si>
  <si>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</si>
  <si>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</si>
  <si>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</si>
  <si>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</si>
  <si>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</si>
  <si>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</si>
  <si>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</si>
  <si>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</si>
  <si>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</si>
  <si>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</si>
  <si>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</si>
  <si>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</si>
  <si>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</si>
  <si>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</si>
  <si>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</si>
  <si>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</si>
  <si>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</si>
  <si>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</si>
  <si>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</si>
  <si>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</si>
  <si>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</si>
  <si>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</si>
  <si>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</si>
  <si>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</si>
  <si>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</si>
  <si>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</si>
  <si>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</si>
  <si>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</si>
  <si>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</si>
  <si>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</si>
  <si>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</si>
  <si>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</si>
  <si>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</si>
  <si>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</si>
  <si>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</si>
  <si>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</si>
  <si>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</si>
  <si>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</si>
  <si>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</si>
  <si>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</si>
  <si>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</si>
  <si>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</si>
  <si>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</si>
  <si>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</si>
  <si>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</si>
  <si>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</si>
  <si>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</si>
  <si>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</si>
  <si>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</si>
  <si>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</si>
  <si>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</si>
  <si>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</si>
  <si>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</si>
  <si>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</si>
  <si>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</si>
  <si>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</si>
  <si>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</si>
  <si>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</si>
  <si>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</si>
  <si>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</si>
  <si>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</si>
  <si>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</si>
  <si>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</si>
  <si>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</si>
  <si>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</si>
  <si>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</si>
  <si>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</si>
  <si>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</si>
  <si>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</si>
  <si>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</si>
  <si>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</si>
  <si>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</si>
  <si>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</si>
  <si>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</si>
  <si>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</si>
  <si>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</si>
  <si>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</si>
  <si>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</si>
  <si>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</si>
  <si>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</si>
  <si>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</si>
  <si>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</si>
  <si>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</si>
  <si>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</si>
  <si>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</si>
  <si>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</si>
  <si>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</si>
  <si>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</si>
  <si>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</si>
  <si>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</si>
  <si>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</si>
  <si>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</si>
  <si>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</si>
  <si>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</si>
  <si>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</si>
  <si>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</si>
  <si>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</si>
  <si>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</si>
  <si>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</si>
  <si>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</si>
  <si>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</si>
  <si>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</si>
  <si>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</si>
  <si>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</si>
  <si>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</si>
  <si>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</si>
  <si>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</si>
  <si>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</si>
  <si>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</si>
  <si>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</si>
  <si>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</si>
  <si>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</si>
  <si>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</si>
  <si>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</si>
  <si>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</si>
  <si>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</si>
  <si>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</si>
  <si>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</si>
  <si>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</si>
  <si>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</si>
  <si>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</si>
  <si>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</si>
  <si>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</si>
  <si>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</si>
  <si>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</si>
  <si>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</si>
  <si>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</si>
  <si>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</si>
  <si>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</si>
  <si>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</si>
  <si>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</si>
  <si>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</si>
  <si>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</si>
  <si>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</si>
  <si>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</si>
  <si>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</si>
  <si>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</si>
  <si>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</si>
  <si>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</si>
  <si>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</si>
  <si>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</si>
  <si>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</si>
  <si>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</si>
  <si>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</si>
  <si>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</si>
  <si>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</si>
  <si>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</si>
  <si>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</si>
  <si>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</si>
  <si>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</si>
  <si>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</si>
  <si>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</si>
  <si>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</si>
  <si>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</si>
  <si>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</si>
  <si>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</si>
  <si>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</si>
  <si>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</si>
  <si>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</si>
  <si>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</si>
  <si>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</si>
  <si>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</si>
  <si>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</si>
  <si>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</si>
  <si>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</si>
  <si>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</si>
  <si>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</si>
  <si>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</si>
  <si>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</si>
  <si>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</si>
  <si>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</si>
  <si>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</si>
  <si>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</si>
  <si>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</si>
  <si>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</si>
  <si>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</si>
  <si>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</si>
  <si>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</si>
  <si>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</si>
  <si>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</si>
  <si>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</si>
  <si>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</si>
  <si>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</si>
  <si>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</si>
  <si>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</si>
  <si>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</si>
  <si>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</si>
  <si>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</si>
  <si>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</si>
  <si>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</si>
  <si>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</si>
  <si>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</si>
  <si>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</si>
  <si>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</si>
  <si>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</si>
  <si>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</si>
  <si>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</si>
  <si>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</si>
  <si>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</si>
  <si>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</si>
  <si>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</si>
  <si>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</si>
  <si>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</si>
  <si>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</si>
  <si>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</si>
  <si>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</si>
  <si>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</si>
  <si>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</si>
  <si>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</si>
  <si>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</si>
  <si>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</si>
  <si>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</si>
  <si>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</si>
  <si>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</si>
  <si>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</si>
  <si>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</si>
  <si>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</si>
  <si>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</si>
  <si>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</si>
  <si>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</si>
  <si>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</si>
  <si>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</si>
  <si>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</si>
  <si>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</si>
  <si>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</si>
  <si>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</si>
  <si>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</si>
  <si>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</si>
  <si>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</si>
  <si>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</si>
  <si>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</si>
  <si>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</si>
  <si>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</si>
  <si>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</si>
  <si>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</si>
  <si>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</si>
  <si>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</si>
  <si>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</si>
  <si>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</si>
  <si>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</si>
  <si>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</si>
  <si>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</si>
  <si>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</si>
  <si>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</si>
  <si>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</si>
  <si>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</si>
  <si>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</si>
  <si>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</si>
  <si>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</si>
  <si>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</si>
  <si>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</si>
  <si>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</si>
  <si>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Erstatninger</t>
  </si>
  <si>
    <t>Øvrige IPO</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</si>
  <si>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</si>
  <si>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</si>
  <si>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</si>
  <si>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</si>
  <si>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</si>
  <si>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</si>
  <si>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</si>
  <si>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</si>
  <si>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</si>
  <si>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</si>
  <si>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</si>
  <si>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</si>
  <si>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</si>
  <si>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</si>
  <si>
    <t>Fusion - Grundejerforeningen Stenvadpark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</si>
</sst>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166" fontId="7" fillId="3" borderId="1" xfId="0" applyNumberFormat="1" applyFont="1" applyFill="1" applyBorder="1" applyProtection="1"/>
    <xf numFmtId="2" fontId="0" fillId="2" borderId="0" xfId="0" applyNumberFormat="1" applyFill="1" applyProtection="1"/>
    <xf numFmtId="2" fontId="13" fillId="2" borderId="0" xfId="0" applyNumberFormat="1" applyFont="1" applyFill="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231</v>
      </c>
      <c r="E8" s="106"/>
      <c r="F8" s="106"/>
      <c r="G8" s="10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1"/>
      <c r="I12" s="1"/>
    </row>
    <row r="13" spans="1:9" x14ac:dyDescent="0.25">
      <c r="A13" s="1"/>
      <c r="B13" s="1"/>
      <c r="C13" s="6" t="s">
        <v>6</v>
      </c>
      <c r="D13" s="107" t="s">
        <v>134</v>
      </c>
      <c r="E13" s="108"/>
      <c r="F13" s="108"/>
      <c r="G13" s="109"/>
      <c r="H13" s="1"/>
      <c r="I13" s="1"/>
    </row>
    <row r="14" spans="1:9" x14ac:dyDescent="0.25">
      <c r="A14" s="1"/>
      <c r="B14" s="1"/>
      <c r="C14" s="6" t="s">
        <v>16</v>
      </c>
      <c r="D14" s="107" t="s">
        <v>234</v>
      </c>
      <c r="E14" s="108"/>
      <c r="F14" s="108"/>
      <c r="G14" s="109"/>
      <c r="H14" s="1"/>
      <c r="I14" s="1"/>
    </row>
    <row r="15" spans="1:9" x14ac:dyDescent="0.25">
      <c r="A15" s="1"/>
      <c r="B15" s="1"/>
      <c r="C15" s="6" t="s">
        <v>34</v>
      </c>
      <c r="D15" s="107" t="s">
        <v>135</v>
      </c>
      <c r="E15" s="108"/>
      <c r="F15" s="108"/>
      <c r="G15" s="109"/>
      <c r="H15" s="1"/>
      <c r="I15" s="1"/>
    </row>
    <row r="16" spans="1:9" x14ac:dyDescent="0.25">
      <c r="A16" s="1"/>
      <c r="B16" s="1"/>
      <c r="C16" s="6" t="s">
        <v>35</v>
      </c>
      <c r="D16" s="107" t="s">
        <v>190</v>
      </c>
      <c r="E16" s="108"/>
      <c r="F16" s="108"/>
      <c r="G16" s="109"/>
      <c r="H16" s="1"/>
      <c r="I16" s="1"/>
    </row>
    <row r="17" spans="1:9" x14ac:dyDescent="0.25">
      <c r="A17" s="1"/>
      <c r="B17" s="1"/>
      <c r="C17" s="6" t="s">
        <v>109</v>
      </c>
      <c r="D17" s="107" t="s">
        <v>191</v>
      </c>
      <c r="E17" s="108"/>
      <c r="F17" s="108"/>
      <c r="G17" s="109"/>
      <c r="H17" s="1"/>
      <c r="I17" s="1"/>
    </row>
    <row r="18" spans="1:9" x14ac:dyDescent="0.25">
      <c r="A18" s="1"/>
      <c r="B18" s="1"/>
      <c r="C18" s="6" t="s">
        <v>94</v>
      </c>
      <c r="D18" s="110" t="s">
        <v>83</v>
      </c>
      <c r="E18" s="111"/>
      <c r="F18" s="111"/>
      <c r="G18" s="112"/>
      <c r="H18" s="1"/>
      <c r="I18" s="1"/>
    </row>
    <row r="19" spans="1:9" x14ac:dyDescent="0.25">
      <c r="A19" s="1"/>
      <c r="B19" s="1"/>
      <c r="C19" s="6" t="s">
        <v>95</v>
      </c>
      <c r="D19" s="110" t="s">
        <v>84</v>
      </c>
      <c r="E19" s="111"/>
      <c r="F19" s="111"/>
      <c r="G19" s="112"/>
      <c r="H19" s="1"/>
      <c r="I19" s="1"/>
    </row>
    <row r="20" spans="1:9" x14ac:dyDescent="0.25">
      <c r="A20" s="1"/>
      <c r="B20" s="1"/>
      <c r="C20" s="6" t="s">
        <v>7</v>
      </c>
      <c r="D20" s="110" t="s">
        <v>10</v>
      </c>
      <c r="E20" s="111"/>
      <c r="F20" s="111"/>
      <c r="G20" s="112"/>
      <c r="H20" s="1"/>
      <c r="I20" s="1"/>
    </row>
    <row r="21" spans="1:9" x14ac:dyDescent="0.25">
      <c r="A21" s="1"/>
      <c r="B21" s="1"/>
      <c r="C21" s="6" t="s">
        <v>96</v>
      </c>
      <c r="D21" s="116" t="s">
        <v>12</v>
      </c>
      <c r="E21" s="117"/>
      <c r="F21" s="117"/>
      <c r="G21" s="118"/>
      <c r="H21" s="1"/>
      <c r="I21" s="1"/>
    </row>
    <row r="22" spans="1:9" x14ac:dyDescent="0.25">
      <c r="A22" s="1"/>
      <c r="B22" s="1"/>
      <c r="C22" s="6" t="s">
        <v>71</v>
      </c>
      <c r="D22" s="102" t="s">
        <v>192</v>
      </c>
      <c r="E22" s="103"/>
      <c r="F22" s="103"/>
      <c r="G22" s="104"/>
      <c r="H22" s="1"/>
      <c r="I22" s="1"/>
    </row>
    <row r="23" spans="1:9" x14ac:dyDescent="0.25">
      <c r="A23" s="1"/>
      <c r="B23" s="1"/>
      <c r="C23" s="6" t="s">
        <v>8</v>
      </c>
      <c r="D23" s="102" t="s">
        <v>250</v>
      </c>
      <c r="E23" s="103"/>
      <c r="F23" s="103"/>
      <c r="G23" s="104"/>
      <c r="H23" s="1"/>
      <c r="I23" s="1"/>
    </row>
    <row r="24" spans="1:9" x14ac:dyDescent="0.25">
      <c r="A24" s="1"/>
      <c r="B24" s="1"/>
      <c r="C24" s="6" t="s">
        <v>9</v>
      </c>
      <c r="D24" s="102" t="s">
        <v>193</v>
      </c>
      <c r="E24" s="103"/>
      <c r="F24" s="103"/>
      <c r="G24" s="104"/>
      <c r="H24" s="1"/>
      <c r="I24" s="1"/>
    </row>
    <row r="25" spans="1:9" x14ac:dyDescent="0.25">
      <c r="A25" s="1"/>
      <c r="B25" s="1"/>
      <c r="C25" s="6" t="s">
        <v>263</v>
      </c>
      <c r="D25" s="102" t="s">
        <v>245</v>
      </c>
      <c r="E25" s="103"/>
      <c r="F25" s="103"/>
      <c r="G25" s="104"/>
      <c r="H25" s="1"/>
      <c r="I25" s="1"/>
    </row>
    <row r="26" spans="1:9" x14ac:dyDescent="0.25">
      <c r="A26" s="1"/>
      <c r="B26" s="1"/>
      <c r="C26" s="6" t="s">
        <v>264</v>
      </c>
      <c r="D26" s="102" t="s">
        <v>72</v>
      </c>
      <c r="E26" s="103"/>
      <c r="F26" s="103"/>
      <c r="G26" s="104"/>
      <c r="H26" s="1"/>
      <c r="I26" s="1"/>
    </row>
    <row r="27" spans="1:9" x14ac:dyDescent="0.25">
      <c r="A27" s="1"/>
      <c r="B27" s="1"/>
      <c r="C27" s="6" t="s">
        <v>265</v>
      </c>
      <c r="D27" s="102" t="s">
        <v>73</v>
      </c>
      <c r="E27" s="103"/>
      <c r="F27" s="103"/>
      <c r="G27" s="104"/>
      <c r="H27" s="1"/>
      <c r="I27" s="1"/>
    </row>
    <row r="28" spans="1:9" x14ac:dyDescent="0.25">
      <c r="A28" s="1"/>
      <c r="B28" s="1"/>
      <c r="C28" s="6" t="s">
        <v>15</v>
      </c>
      <c r="D28" s="102" t="s">
        <v>74</v>
      </c>
      <c r="E28" s="103"/>
      <c r="F28" s="103"/>
      <c r="G28" s="104"/>
      <c r="H28" s="1"/>
      <c r="I28" s="1"/>
    </row>
    <row r="29" spans="1:9" x14ac:dyDescent="0.25">
      <c r="A29" s="1"/>
      <c r="B29" s="1"/>
      <c r="C29" s="6" t="s">
        <v>37</v>
      </c>
      <c r="D29" s="102" t="s">
        <v>112</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266</v>
      </c>
      <c r="D31" s="113" t="s">
        <v>92</v>
      </c>
      <c r="E31" s="114"/>
      <c r="F31" s="114"/>
      <c r="G31" s="11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cnGsi9RjTBGzSydiSq3F44wAiBdr/YILdKwSg2o2IzODDwCGNCVSYtMjuL/vgQSke2htGbeu5C8S7Fd47GzoQ==" saltValue="wKSsoNQL6PBCfq/Su6q7g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2'!A1" display="Omkostninger i ØR2022"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8. Skattesagen'!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0"/>
  <sheetViews>
    <sheetView showGridLines="0" view="pageLayout" zoomScaleNormal="100" workbookViewId="0">
      <selection activeCell="C16" sqref="C16"/>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97</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2" t="s">
        <v>209</v>
      </c>
      <c r="C8" s="153"/>
      <c r="D8" s="155"/>
      <c r="E8" s="1"/>
      <c r="F8" s="1"/>
    </row>
    <row r="9" spans="1:6" ht="15" customHeight="1" x14ac:dyDescent="0.25">
      <c r="A9" s="1"/>
      <c r="B9" s="35" t="s">
        <v>32</v>
      </c>
      <c r="C9" s="11" t="s">
        <v>246</v>
      </c>
      <c r="D9" s="11"/>
      <c r="E9" s="1"/>
      <c r="F9" s="1"/>
    </row>
    <row r="10" spans="1:6" ht="15" customHeight="1" x14ac:dyDescent="0.25">
      <c r="A10" s="1"/>
      <c r="B10" s="91" t="s">
        <v>276</v>
      </c>
      <c r="C10" s="9">
        <v>193497</v>
      </c>
      <c r="D10" s="14" t="s">
        <v>3</v>
      </c>
      <c r="E10" s="1"/>
      <c r="F10" s="1"/>
    </row>
    <row r="11" spans="1:6" ht="15" customHeight="1" x14ac:dyDescent="0.25">
      <c r="A11" s="1"/>
      <c r="B11" s="91" t="s">
        <v>277</v>
      </c>
      <c r="C11" s="9">
        <v>95890</v>
      </c>
      <c r="D11" s="14" t="s">
        <v>3</v>
      </c>
      <c r="E11" s="1"/>
      <c r="F11" s="1"/>
    </row>
    <row r="12" spans="1:6" ht="15" customHeight="1" x14ac:dyDescent="0.25">
      <c r="A12" s="1"/>
      <c r="B12" s="91" t="s">
        <v>278</v>
      </c>
      <c r="C12" s="9">
        <v>9103120</v>
      </c>
      <c r="D12" s="14" t="s">
        <v>3</v>
      </c>
      <c r="E12" s="1"/>
      <c r="F12" s="1"/>
    </row>
    <row r="13" spans="1:6" x14ac:dyDescent="0.25">
      <c r="A13" s="1"/>
      <c r="B13" s="91" t="s">
        <v>279</v>
      </c>
      <c r="C13" s="9">
        <v>371206</v>
      </c>
      <c r="D13" s="14" t="s">
        <v>3</v>
      </c>
      <c r="E13" s="1"/>
      <c r="F13" s="1"/>
    </row>
    <row r="14" spans="1:6" x14ac:dyDescent="0.25">
      <c r="A14" s="1"/>
      <c r="B14" s="91" t="s">
        <v>280</v>
      </c>
      <c r="C14" s="9">
        <v>6905</v>
      </c>
      <c r="D14" s="14" t="s">
        <v>3</v>
      </c>
      <c r="E14" s="1"/>
      <c r="F14" s="1"/>
    </row>
    <row r="15" spans="1:6" x14ac:dyDescent="0.25">
      <c r="A15" s="1"/>
      <c r="B15" s="91" t="s">
        <v>281</v>
      </c>
      <c r="C15" s="9">
        <v>8420</v>
      </c>
      <c r="D15" s="14" t="s">
        <v>3</v>
      </c>
      <c r="E15" s="1"/>
      <c r="F15" s="1"/>
    </row>
    <row r="16" spans="1:6" x14ac:dyDescent="0.25">
      <c r="A16" s="1"/>
      <c r="B16" s="32" t="s">
        <v>210</v>
      </c>
      <c r="C16" s="12">
        <f>SUM(C10:C15)</f>
        <v>9779038</v>
      </c>
      <c r="D16" s="13" t="s">
        <v>3</v>
      </c>
      <c r="E16" s="1"/>
      <c r="F16" s="1"/>
    </row>
    <row r="17" spans="1:6" x14ac:dyDescent="0.25">
      <c r="A17" s="1"/>
      <c r="B17" s="32" t="s">
        <v>211</v>
      </c>
      <c r="C17" s="12">
        <f>C16*(1+'Fane 15. Nøgletal'!C15)^2</f>
        <v>10487699.067199681</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52" t="s">
        <v>105</v>
      </c>
      <c r="C20" s="153"/>
      <c r="D20" s="155"/>
      <c r="E20" s="1"/>
      <c r="F20" s="1"/>
    </row>
    <row r="21" spans="1:6" x14ac:dyDescent="0.25">
      <c r="A21" s="1"/>
      <c r="B21" s="91" t="s">
        <v>267</v>
      </c>
      <c r="C21" s="9">
        <v>596009</v>
      </c>
      <c r="D21" s="14" t="s">
        <v>3</v>
      </c>
      <c r="E21" s="1"/>
      <c r="F21" s="1"/>
    </row>
    <row r="22" spans="1:6" x14ac:dyDescent="0.25">
      <c r="A22" s="1"/>
      <c r="B22" s="91" t="s">
        <v>268</v>
      </c>
      <c r="C22" s="9">
        <v>596009</v>
      </c>
      <c r="D22" s="14" t="s">
        <v>3</v>
      </c>
      <c r="E22" s="1"/>
      <c r="F22" s="1"/>
    </row>
    <row r="23" spans="1:6" x14ac:dyDescent="0.25">
      <c r="A23" s="1"/>
      <c r="B23" s="91" t="s">
        <v>269</v>
      </c>
      <c r="C23" s="9">
        <v>596009</v>
      </c>
      <c r="D23" s="14" t="s">
        <v>3</v>
      </c>
      <c r="E23" s="1"/>
      <c r="F23" s="1"/>
    </row>
    <row r="24" spans="1:6" x14ac:dyDescent="0.25">
      <c r="A24" s="1"/>
      <c r="B24" s="28" t="s">
        <v>270</v>
      </c>
      <c r="C24" s="9">
        <v>596009</v>
      </c>
      <c r="D24" s="14" t="s">
        <v>3</v>
      </c>
      <c r="E24" s="1"/>
      <c r="F24" s="1"/>
    </row>
    <row r="25" spans="1:6" x14ac:dyDescent="0.25">
      <c r="A25" s="1"/>
      <c r="B25" s="152"/>
      <c r="C25" s="153"/>
      <c r="D25" s="155"/>
      <c r="E25" s="1"/>
      <c r="F25" s="1"/>
    </row>
    <row r="26" spans="1:6" x14ac:dyDescent="0.25">
      <c r="A26" s="1"/>
      <c r="B26" s="1"/>
      <c r="C26" s="1"/>
      <c r="D26" s="1"/>
      <c r="E26" s="1"/>
      <c r="F26" s="1"/>
    </row>
    <row r="27" spans="1:6" x14ac:dyDescent="0.25">
      <c r="A27" s="1"/>
      <c r="B27" s="1"/>
      <c r="C27" s="1"/>
      <c r="D27" s="1"/>
      <c r="E27" s="1"/>
      <c r="F27" s="1"/>
    </row>
    <row r="28" spans="1:6" x14ac:dyDescent="0.25">
      <c r="A28" s="1"/>
      <c r="B28" s="152" t="s">
        <v>86</v>
      </c>
      <c r="C28" s="153"/>
      <c r="D28" s="155"/>
      <c r="E28" s="1"/>
      <c r="F28" s="1"/>
    </row>
    <row r="29" spans="1:6" x14ac:dyDescent="0.25">
      <c r="A29" s="1"/>
      <c r="B29" s="91" t="s">
        <v>267</v>
      </c>
      <c r="C29" s="9">
        <v>1663400</v>
      </c>
      <c r="D29" s="14" t="s">
        <v>3</v>
      </c>
      <c r="E29" s="1"/>
      <c r="F29" s="1"/>
    </row>
    <row r="30" spans="1:6" x14ac:dyDescent="0.25">
      <c r="A30" s="1"/>
      <c r="B30" s="91" t="s">
        <v>268</v>
      </c>
      <c r="C30" s="9">
        <v>0</v>
      </c>
      <c r="D30" s="14" t="s">
        <v>3</v>
      </c>
      <c r="E30" s="1"/>
      <c r="F30" s="1"/>
    </row>
    <row r="31" spans="1:6" x14ac:dyDescent="0.25">
      <c r="A31" s="1"/>
      <c r="B31" s="91" t="s">
        <v>269</v>
      </c>
      <c r="C31" s="9">
        <v>0</v>
      </c>
      <c r="D31" s="14" t="s">
        <v>3</v>
      </c>
      <c r="E31" s="1"/>
      <c r="F31" s="1"/>
    </row>
    <row r="32" spans="1:6" x14ac:dyDescent="0.25">
      <c r="A32" s="1"/>
      <c r="B32" s="28" t="s">
        <v>270</v>
      </c>
      <c r="C32" s="9">
        <v>0</v>
      </c>
      <c r="D32" s="14" t="s">
        <v>3</v>
      </c>
      <c r="E32" s="1"/>
      <c r="F32" s="1"/>
    </row>
    <row r="33" spans="1:6" x14ac:dyDescent="0.25">
      <c r="A33" s="1"/>
      <c r="B33" s="152"/>
      <c r="C33" s="153"/>
      <c r="D33" s="155"/>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2hFPsMEIhTgWXkb4ymUbDxijHQW8lUNX72TB42m0Ywq/yhsbhlRDy8uMQqq4pJwajtd/pIYwHgR4mHg6sphEIQ==" saltValue="Mf1rKnU87h4+4RkMEdAxDw=="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1"/>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212</v>
      </c>
      <c r="C3" s="124"/>
      <c r="D3" s="124"/>
      <c r="E3" s="124"/>
      <c r="F3" s="124"/>
      <c r="G3" s="1"/>
    </row>
    <row r="4" spans="1:7" ht="15" customHeight="1" x14ac:dyDescent="0.25">
      <c r="A4" s="1"/>
      <c r="B4" s="124"/>
      <c r="C4" s="124"/>
      <c r="D4" s="124"/>
      <c r="E4" s="124"/>
      <c r="F4" s="124"/>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3.5" customHeight="1" x14ac:dyDescent="0.25">
      <c r="A7" s="1"/>
      <c r="B7" s="1"/>
      <c r="C7" s="1"/>
      <c r="D7" s="1"/>
      <c r="E7" s="1"/>
      <c r="F7" s="1"/>
      <c r="G7" s="1"/>
    </row>
    <row r="8" spans="1:7" x14ac:dyDescent="0.25">
      <c r="A8" s="1"/>
      <c r="B8" s="152" t="s">
        <v>183</v>
      </c>
      <c r="C8" s="153"/>
      <c r="D8" s="153"/>
      <c r="E8" s="153"/>
      <c r="F8" s="155"/>
      <c r="G8" s="1"/>
    </row>
    <row r="9" spans="1:7" x14ac:dyDescent="0.25">
      <c r="A9" s="1"/>
      <c r="B9" s="146" t="s">
        <v>184</v>
      </c>
      <c r="C9" s="147"/>
      <c r="D9" s="148"/>
      <c r="E9" s="9">
        <v>151693.411141105</v>
      </c>
      <c r="F9" s="14" t="s">
        <v>3</v>
      </c>
      <c r="G9" s="1"/>
    </row>
    <row r="10" spans="1:7" x14ac:dyDescent="0.25">
      <c r="A10" s="1"/>
      <c r="B10" s="146" t="s">
        <v>185</v>
      </c>
      <c r="C10" s="147"/>
      <c r="D10" s="148"/>
      <c r="E10" s="9">
        <v>-5026539</v>
      </c>
      <c r="F10" s="14" t="s">
        <v>3</v>
      </c>
      <c r="G10" s="1"/>
    </row>
    <row r="11" spans="1:7" x14ac:dyDescent="0.25">
      <c r="A11" s="1"/>
      <c r="B11" s="146" t="s">
        <v>213</v>
      </c>
      <c r="C11" s="147"/>
      <c r="D11" s="148"/>
      <c r="E11" s="9">
        <v>1853742.805242084</v>
      </c>
      <c r="F11" s="14" t="s">
        <v>3</v>
      </c>
      <c r="G11" s="1"/>
    </row>
    <row r="12" spans="1:7" x14ac:dyDescent="0.25">
      <c r="A12" s="1"/>
      <c r="B12" s="146" t="s">
        <v>271</v>
      </c>
      <c r="C12" s="147"/>
      <c r="D12" s="148"/>
      <c r="E12" s="9">
        <v>-3021102.783616811</v>
      </c>
      <c r="F12" s="14" t="s">
        <v>3</v>
      </c>
      <c r="G12" s="1"/>
    </row>
    <row r="13" spans="1:7" x14ac:dyDescent="0.25">
      <c r="A13" s="1"/>
      <c r="B13" s="32"/>
      <c r="C13" s="33"/>
      <c r="D13" s="33"/>
      <c r="E13" s="33"/>
      <c r="F13" s="20"/>
      <c r="G13" s="1"/>
    </row>
    <row r="14" spans="1:7" ht="75.75" customHeight="1" x14ac:dyDescent="0.25">
      <c r="A14" s="1"/>
      <c r="B14" s="134" t="s">
        <v>294</v>
      </c>
      <c r="C14" s="135"/>
      <c r="D14" s="135"/>
      <c r="E14" s="135"/>
      <c r="F14" s="136"/>
      <c r="G14" s="1"/>
    </row>
    <row r="15" spans="1:7" ht="24" customHeight="1" x14ac:dyDescent="0.25">
      <c r="A15" s="1"/>
      <c r="B15" s="1"/>
      <c r="C15" s="1"/>
      <c r="D15" s="1"/>
      <c r="E15" s="1"/>
      <c r="F15" s="1"/>
      <c r="G15" s="1"/>
    </row>
    <row r="16" spans="1:7" ht="28.5" customHeight="1" x14ac:dyDescent="0.25">
      <c r="A16" s="1"/>
      <c r="B16" s="152" t="s">
        <v>186</v>
      </c>
      <c r="C16" s="153"/>
      <c r="D16" s="153"/>
      <c r="E16" s="153"/>
      <c r="F16" s="155"/>
      <c r="G16" s="1"/>
    </row>
    <row r="17" spans="1:7" x14ac:dyDescent="0.25">
      <c r="A17" s="1"/>
      <c r="B17" s="146" t="s">
        <v>272</v>
      </c>
      <c r="C17" s="147"/>
      <c r="D17" s="148"/>
      <c r="E17" s="9">
        <v>-3323274.8188187405</v>
      </c>
      <c r="F17" s="14" t="s">
        <v>3</v>
      </c>
      <c r="G17" s="1"/>
    </row>
    <row r="18" spans="1:7" x14ac:dyDescent="0.25">
      <c r="A18" s="1"/>
      <c r="B18" s="146" t="s">
        <v>187</v>
      </c>
      <c r="C18" s="147"/>
      <c r="D18" s="148"/>
      <c r="E18" s="9">
        <v>-3323274.8188187405</v>
      </c>
      <c r="F18" s="14" t="s">
        <v>3</v>
      </c>
      <c r="G18" s="1"/>
    </row>
    <row r="19" spans="1:7" x14ac:dyDescent="0.25">
      <c r="A19" s="1"/>
      <c r="B19" s="32"/>
      <c r="C19" s="33"/>
      <c r="D19" s="33"/>
      <c r="E19" s="33"/>
      <c r="F19" s="20"/>
      <c r="G19" s="1"/>
    </row>
    <row r="20" spans="1:7" ht="31.5" customHeight="1" x14ac:dyDescent="0.25">
      <c r="A20" s="1"/>
      <c r="B20" s="134" t="s">
        <v>295</v>
      </c>
      <c r="C20" s="135"/>
      <c r="D20" s="135"/>
      <c r="E20" s="135"/>
      <c r="F20" s="136"/>
      <c r="G20" s="1"/>
    </row>
    <row r="21" spans="1:7" ht="26.25" customHeight="1" x14ac:dyDescent="0.25">
      <c r="A21" s="1"/>
      <c r="B21" s="1"/>
      <c r="C21" s="1"/>
      <c r="D21" s="1"/>
      <c r="E21" s="1"/>
      <c r="F21" s="1"/>
      <c r="G21" s="1"/>
    </row>
    <row r="22" spans="1:7" ht="28.5" customHeight="1" x14ac:dyDescent="0.25">
      <c r="A22" s="1"/>
      <c r="B22" s="88" t="s">
        <v>214</v>
      </c>
      <c r="C22" s="89"/>
      <c r="D22" s="89"/>
      <c r="E22" s="89"/>
      <c r="F22" s="90"/>
      <c r="G22" s="1"/>
    </row>
    <row r="23" spans="1:7" x14ac:dyDescent="0.25">
      <c r="A23" s="1"/>
      <c r="B23" s="85" t="s">
        <v>215</v>
      </c>
      <c r="C23" s="86"/>
      <c r="D23" s="87"/>
      <c r="E23" s="9">
        <v>62942410.661485091</v>
      </c>
      <c r="F23" s="14" t="s">
        <v>3</v>
      </c>
      <c r="G23" s="1"/>
    </row>
    <row r="24" spans="1:7" x14ac:dyDescent="0.25">
      <c r="A24" s="1"/>
      <c r="B24" s="85" t="s">
        <v>216</v>
      </c>
      <c r="C24" s="86"/>
      <c r="D24" s="87"/>
      <c r="E24" s="9">
        <v>68774473</v>
      </c>
      <c r="F24" s="14" t="s">
        <v>3</v>
      </c>
      <c r="G24" s="1"/>
    </row>
    <row r="25" spans="1:7" x14ac:dyDescent="0.25">
      <c r="A25" s="1"/>
      <c r="B25" s="85" t="s">
        <v>33</v>
      </c>
      <c r="C25" s="86"/>
      <c r="D25" s="87"/>
      <c r="E25" s="9">
        <v>0</v>
      </c>
      <c r="F25" s="14" t="s">
        <v>3</v>
      </c>
      <c r="G25" s="1"/>
    </row>
    <row r="26" spans="1:7" x14ac:dyDescent="0.25">
      <c r="A26" s="1"/>
      <c r="B26" s="82" t="s">
        <v>217</v>
      </c>
      <c r="C26" s="83"/>
      <c r="D26" s="84"/>
      <c r="E26" s="62">
        <f>E23-(E24-E25)</f>
        <v>-5832062.3385149091</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2" t="s">
        <v>273</v>
      </c>
      <c r="C29" s="153"/>
      <c r="D29" s="153"/>
      <c r="E29" s="153"/>
      <c r="F29" s="155"/>
      <c r="G29" s="1"/>
    </row>
    <row r="30" spans="1:7" x14ac:dyDescent="0.25">
      <c r="A30" s="1"/>
      <c r="B30" s="143" t="s">
        <v>274</v>
      </c>
      <c r="C30" s="144"/>
      <c r="D30" s="145"/>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-3323274.8188187405</v>
      </c>
      <c r="F30" s="17" t="s">
        <v>3</v>
      </c>
      <c r="G30" s="1"/>
    </row>
    <row r="31" spans="1:7" x14ac:dyDescent="0.25">
      <c r="A31" s="1"/>
      <c r="B31" s="152"/>
      <c r="C31" s="153"/>
      <c r="D31" s="153"/>
      <c r="E31" s="153"/>
      <c r="F31" s="155"/>
      <c r="G31" s="1"/>
    </row>
    <row r="32" spans="1:7" x14ac:dyDescent="0.25">
      <c r="A32" s="1"/>
      <c r="B32" s="1"/>
      <c r="C32" s="1"/>
      <c r="D32" s="1"/>
      <c r="E32" s="1"/>
      <c r="F32" s="1"/>
      <c r="G32" s="1"/>
    </row>
    <row r="33" spans="1:7" ht="28.5" customHeight="1" x14ac:dyDescent="0.25">
      <c r="A33" s="1"/>
      <c r="B33" s="152" t="s">
        <v>275</v>
      </c>
      <c r="C33" s="153"/>
      <c r="D33" s="153"/>
      <c r="E33" s="153"/>
      <c r="F33" s="155"/>
      <c r="G33" s="1"/>
    </row>
    <row r="34" spans="1:7" x14ac:dyDescent="0.25">
      <c r="A34" s="1"/>
      <c r="B34" s="166" t="s">
        <v>131</v>
      </c>
      <c r="C34" s="167"/>
      <c r="D34" s="168"/>
      <c r="E34" s="9">
        <f>IF(AND(SUM(E9:E11)&gt;0,SUM(E9:E11,E26)&gt;0),0,IF(AND(SUM(E9:E11)&gt;0,SUM(E9:E11,E26)&lt;0),SUM(E9:E11,E26),IF(AND(SUM(E9:E11)&lt;0,E26&lt;0),E26,0)))</f>
        <v>-5832062.3385149091</v>
      </c>
      <c r="F34" s="14" t="s">
        <v>3</v>
      </c>
      <c r="G34" s="1"/>
    </row>
    <row r="35" spans="1:7" x14ac:dyDescent="0.25">
      <c r="A35" s="1"/>
      <c r="B35" s="166" t="s">
        <v>89</v>
      </c>
      <c r="C35" s="167"/>
      <c r="D35" s="168"/>
      <c r="E35" s="9">
        <v>4</v>
      </c>
      <c r="F35" s="14" t="s">
        <v>20</v>
      </c>
      <c r="G35" s="1"/>
    </row>
    <row r="36" spans="1:7" x14ac:dyDescent="0.25">
      <c r="A36" s="1"/>
      <c r="B36" s="169" t="s">
        <v>133</v>
      </c>
      <c r="C36" s="169"/>
      <c r="D36" s="169"/>
      <c r="E36" s="10">
        <f>E34/E35</f>
        <v>-1458015.5846287273</v>
      </c>
      <c r="F36" s="17" t="s">
        <v>3</v>
      </c>
      <c r="G36" s="1"/>
    </row>
    <row r="37" spans="1:7" x14ac:dyDescent="0.25">
      <c r="A37" s="1"/>
      <c r="B37" s="170"/>
      <c r="C37" s="171"/>
      <c r="D37" s="171"/>
      <c r="E37" s="171"/>
      <c r="F37" s="172"/>
      <c r="G37" s="1"/>
    </row>
    <row r="38" spans="1:7" x14ac:dyDescent="0.25">
      <c r="A38" s="1"/>
      <c r="B38" s="1"/>
      <c r="C38" s="1"/>
      <c r="D38" s="1"/>
      <c r="E38" s="1"/>
      <c r="F38" s="1"/>
      <c r="G38" s="1"/>
    </row>
    <row r="39" spans="1:7" x14ac:dyDescent="0.25">
      <c r="A39" s="1"/>
      <c r="B39" s="1"/>
      <c r="C39" s="1"/>
      <c r="D39" s="1"/>
      <c r="E39" s="1"/>
      <c r="F39" s="1"/>
      <c r="G39" s="1"/>
    </row>
    <row r="40" spans="1:7" x14ac:dyDescent="0.25">
      <c r="B40" s="43"/>
      <c r="C40" s="43"/>
      <c r="D40" s="43"/>
      <c r="E40" s="43"/>
      <c r="F40" s="43"/>
    </row>
    <row r="41" spans="1:7" x14ac:dyDescent="0.25">
      <c r="A41" s="43"/>
      <c r="B41" s="43"/>
      <c r="C41" s="43"/>
      <c r="D41" s="43"/>
      <c r="E41" s="43"/>
      <c r="F41" s="43"/>
      <c r="G41" s="43"/>
    </row>
  </sheetData>
  <sheetProtection algorithmName="SHA-512" hashValue="RJzK12A57UiSSoWEtuNc8ooeX3aL3MjVjsjnvDc7myhO0uTKBx7qUMnGz6zyqRHbeNZbPXbrvL+aLOXRU9nP+A==" saltValue="UAbv3lx6GvRSR8QUSZDR2w=="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ignoredErrors>
    <ignoredError sqref="E3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251</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2" t="s">
        <v>252</v>
      </c>
      <c r="C8" s="153"/>
      <c r="D8" s="153"/>
      <c r="E8" s="153"/>
      <c r="F8" s="153"/>
      <c r="G8" s="153"/>
      <c r="H8" s="155"/>
      <c r="I8" s="1"/>
    </row>
    <row r="9" spans="1:9" ht="15" customHeight="1" x14ac:dyDescent="0.25">
      <c r="A9" s="1"/>
      <c r="B9" s="137" t="s">
        <v>253</v>
      </c>
      <c r="C9" s="138"/>
      <c r="D9" s="138"/>
      <c r="E9" s="138"/>
      <c r="F9" s="138"/>
      <c r="G9" s="138"/>
      <c r="H9" s="139"/>
      <c r="I9" s="1"/>
    </row>
    <row r="10" spans="1:9" x14ac:dyDescent="0.25">
      <c r="A10" s="1"/>
      <c r="B10" s="173" t="s">
        <v>283</v>
      </c>
      <c r="C10" s="174"/>
      <c r="D10" s="174"/>
      <c r="E10" s="174"/>
      <c r="F10" s="175"/>
      <c r="G10" s="44">
        <v>0</v>
      </c>
      <c r="H10" s="9" t="s">
        <v>3</v>
      </c>
      <c r="I10" s="1"/>
    </row>
    <row r="11" spans="1:9" x14ac:dyDescent="0.25">
      <c r="A11" s="1"/>
      <c r="B11" s="173" t="s">
        <v>284</v>
      </c>
      <c r="C11" s="174"/>
      <c r="D11" s="174"/>
      <c r="E11" s="174"/>
      <c r="F11" s="175"/>
      <c r="G11" s="44">
        <v>0</v>
      </c>
      <c r="H11" s="9" t="s">
        <v>3</v>
      </c>
      <c r="I11" s="1"/>
    </row>
    <row r="12" spans="1:9" x14ac:dyDescent="0.25">
      <c r="A12" s="1"/>
      <c r="B12" s="173" t="s">
        <v>285</v>
      </c>
      <c r="C12" s="174"/>
      <c r="D12" s="174"/>
      <c r="E12" s="174"/>
      <c r="F12" s="175"/>
      <c r="G12" s="9">
        <v>0</v>
      </c>
      <c r="H12" s="9" t="s">
        <v>3</v>
      </c>
      <c r="I12" s="1"/>
    </row>
    <row r="13" spans="1:9" x14ac:dyDescent="0.25">
      <c r="A13" s="1"/>
      <c r="B13" s="173" t="s">
        <v>286</v>
      </c>
      <c r="C13" s="174"/>
      <c r="D13" s="174"/>
      <c r="E13" s="174"/>
      <c r="F13" s="175"/>
      <c r="G13" s="9">
        <v>0</v>
      </c>
      <c r="H13" s="9" t="s">
        <v>3</v>
      </c>
      <c r="I13" s="1"/>
    </row>
    <row r="14" spans="1:9" x14ac:dyDescent="0.25">
      <c r="A14" s="1"/>
      <c r="B14" s="173" t="s">
        <v>287</v>
      </c>
      <c r="C14" s="174"/>
      <c r="D14" s="174"/>
      <c r="E14" s="174"/>
      <c r="F14" s="175"/>
      <c r="G14" s="9">
        <v>0</v>
      </c>
      <c r="H14" s="9" t="s">
        <v>3</v>
      </c>
      <c r="I14" s="1"/>
    </row>
    <row r="15" spans="1:9" x14ac:dyDescent="0.25">
      <c r="A15" s="1"/>
      <c r="B15" s="173" t="s">
        <v>288</v>
      </c>
      <c r="C15" s="174"/>
      <c r="D15" s="174"/>
      <c r="E15" s="174"/>
      <c r="F15" s="175"/>
      <c r="G15" s="9">
        <v>0</v>
      </c>
      <c r="H15" s="9" t="s">
        <v>3</v>
      </c>
      <c r="I15" s="1"/>
    </row>
    <row r="16" spans="1:9" x14ac:dyDescent="0.25">
      <c r="A16" s="1"/>
      <c r="B16" s="173" t="s">
        <v>289</v>
      </c>
      <c r="C16" s="174"/>
      <c r="D16" s="174"/>
      <c r="E16" s="174"/>
      <c r="F16" s="175"/>
      <c r="G16" s="9">
        <v>0</v>
      </c>
      <c r="H16" s="9" t="s">
        <v>3</v>
      </c>
      <c r="I16" s="1"/>
    </row>
    <row r="17" spans="1:9" x14ac:dyDescent="0.25">
      <c r="A17" s="1"/>
      <c r="B17" s="173" t="s">
        <v>290</v>
      </c>
      <c r="C17" s="174"/>
      <c r="D17" s="174"/>
      <c r="E17" s="174"/>
      <c r="F17" s="175"/>
      <c r="G17" s="9">
        <v>0</v>
      </c>
      <c r="H17" s="9" t="s">
        <v>3</v>
      </c>
      <c r="I17" s="1"/>
    </row>
    <row r="18" spans="1:9" x14ac:dyDescent="0.25">
      <c r="A18" s="1"/>
      <c r="B18" s="152" t="s">
        <v>254</v>
      </c>
      <c r="C18" s="153"/>
      <c r="D18" s="153"/>
      <c r="E18" s="153"/>
      <c r="F18" s="15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s4w0jHZpPs1RvWBQzCEKkbGrtB4a9zQpj/9DeahJhYoeWr80UEvzhTqt0Sv6CQccI+SILABUgA0Jhp/43+6F0w==" saltValue="8+IMj/9sr4vMRPojYty5/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255</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6" t="s">
        <v>218</v>
      </c>
      <c r="C9" s="176"/>
      <c r="D9" s="176"/>
      <c r="E9" s="176"/>
      <c r="F9" s="176"/>
      <c r="G9" s="1"/>
    </row>
    <row r="10" spans="1:7" x14ac:dyDescent="0.25">
      <c r="A10" s="1"/>
      <c r="B10" s="134" t="s">
        <v>87</v>
      </c>
      <c r="C10" s="135"/>
      <c r="D10" s="136"/>
      <c r="E10" s="7">
        <v>0</v>
      </c>
      <c r="F10" s="8" t="s">
        <v>3</v>
      </c>
      <c r="G10" s="1"/>
    </row>
    <row r="11" spans="1:7" x14ac:dyDescent="0.25">
      <c r="A11" s="1"/>
      <c r="B11" s="146" t="s">
        <v>219</v>
      </c>
      <c r="C11" s="147"/>
      <c r="D11" s="148"/>
      <c r="E11" s="7">
        <v>0</v>
      </c>
      <c r="F11" s="8" t="s">
        <v>3</v>
      </c>
      <c r="G11" s="1"/>
    </row>
    <row r="12" spans="1:7" x14ac:dyDescent="0.25">
      <c r="A12" s="1"/>
      <c r="B12" s="143" t="s">
        <v>88</v>
      </c>
      <c r="C12" s="144"/>
      <c r="D12" s="145"/>
      <c r="E12" s="10">
        <f>E11-E10</f>
        <v>0</v>
      </c>
      <c r="F12" s="11" t="s">
        <v>3</v>
      </c>
      <c r="G12" s="1"/>
    </row>
    <row r="13" spans="1:7" x14ac:dyDescent="0.25">
      <c r="A13" s="1"/>
      <c r="B13" s="176" t="s">
        <v>82</v>
      </c>
      <c r="C13" s="176"/>
      <c r="D13" s="176"/>
      <c r="E13" s="176"/>
      <c r="F13" s="176"/>
      <c r="G13" s="1"/>
    </row>
    <row r="14" spans="1:7" x14ac:dyDescent="0.25">
      <c r="A14" s="1"/>
      <c r="B14" s="146" t="s">
        <v>220</v>
      </c>
      <c r="C14" s="147"/>
      <c r="D14" s="148"/>
      <c r="E14" s="9">
        <v>596009</v>
      </c>
      <c r="F14" s="8" t="s">
        <v>3</v>
      </c>
      <c r="G14" s="1"/>
    </row>
    <row r="15" spans="1:7" x14ac:dyDescent="0.25">
      <c r="A15" s="1"/>
      <c r="B15" s="134" t="s">
        <v>221</v>
      </c>
      <c r="C15" s="135"/>
      <c r="D15" s="136"/>
      <c r="E15" s="9">
        <v>0</v>
      </c>
      <c r="F15" s="8" t="s">
        <v>3</v>
      </c>
      <c r="G15" s="1"/>
    </row>
    <row r="16" spans="1:7" x14ac:dyDescent="0.25">
      <c r="A16" s="1"/>
      <c r="B16" s="143" t="s">
        <v>88</v>
      </c>
      <c r="C16" s="144"/>
      <c r="D16" s="145"/>
      <c r="E16" s="10">
        <f>E15-E14</f>
        <v>-596009</v>
      </c>
      <c r="F16" s="11" t="s">
        <v>3</v>
      </c>
      <c r="G16" s="1"/>
    </row>
    <row r="17" spans="1:7" ht="15" customHeight="1" x14ac:dyDescent="0.25">
      <c r="A17" s="1"/>
      <c r="B17" s="32" t="s">
        <v>222</v>
      </c>
      <c r="C17" s="33"/>
      <c r="D17" s="33"/>
      <c r="E17" s="12">
        <f>E12+E16</f>
        <v>-596009</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QzP4Cjo7hhHNGtIihaTZqyna5z3QXMZcelrlAHp86UKv2wtJ02WYZIvhatytj8qMszaxe6qc6LKGzCU1eQBxA==" saltValue="/x+36d+4dE5+O4Mj9v9ei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256</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2" t="s">
        <v>229</v>
      </c>
      <c r="C8" s="153"/>
      <c r="D8" s="153"/>
      <c r="E8" s="153"/>
      <c r="F8" s="153"/>
      <c r="G8" s="153"/>
      <c r="H8" s="153"/>
      <c r="I8" s="153"/>
      <c r="J8" s="153"/>
      <c r="K8" s="155"/>
      <c r="L8" s="1"/>
    </row>
    <row r="9" spans="1:12" ht="39.75" customHeight="1" x14ac:dyDescent="0.25">
      <c r="A9" s="1"/>
      <c r="B9" s="19" t="s">
        <v>0</v>
      </c>
      <c r="C9" s="19" t="s">
        <v>1</v>
      </c>
      <c r="D9" s="177" t="s">
        <v>247</v>
      </c>
      <c r="E9" s="178"/>
      <c r="F9" s="177" t="s">
        <v>2</v>
      </c>
      <c r="G9" s="178"/>
      <c r="H9" s="177" t="s">
        <v>249</v>
      </c>
      <c r="I9" s="178"/>
      <c r="J9" s="177" t="s">
        <v>30</v>
      </c>
      <c r="K9" s="178"/>
      <c r="L9" s="1"/>
    </row>
    <row r="10" spans="1:12" x14ac:dyDescent="0.25">
      <c r="A10" s="1"/>
      <c r="B10" s="93" t="s">
        <v>291</v>
      </c>
      <c r="C10" s="38">
        <v>0</v>
      </c>
      <c r="D10" s="9">
        <v>0</v>
      </c>
      <c r="E10" s="14" t="s">
        <v>3</v>
      </c>
      <c r="F10" s="9">
        <f>IFERROR(D10/C10,0)</f>
        <v>0</v>
      </c>
      <c r="G10" s="14" t="s">
        <v>3</v>
      </c>
      <c r="H10" s="9">
        <v>0</v>
      </c>
      <c r="I10" s="14" t="s">
        <v>3</v>
      </c>
      <c r="J10" s="9">
        <v>0</v>
      </c>
      <c r="K10" s="14" t="s">
        <v>3</v>
      </c>
      <c r="L10" s="1"/>
    </row>
    <row r="11" spans="1:12" x14ac:dyDescent="0.25">
      <c r="A11" s="1"/>
      <c r="B11" s="152" t="s">
        <v>230</v>
      </c>
      <c r="C11" s="153"/>
      <c r="D11" s="153"/>
      <c r="E11" s="155"/>
      <c r="F11" s="12">
        <f>SUM(F10:F10)</f>
        <v>0</v>
      </c>
      <c r="G11" s="90" t="s">
        <v>248</v>
      </c>
      <c r="H11" s="12">
        <f>SUM(H10:H10)</f>
        <v>0</v>
      </c>
      <c r="I11" s="90" t="s">
        <v>248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qeNXC4Q0rvw1n7lUjTVJSCWFQg6igh6HAar33Sz8boQvQJ///LF8AU98tLZplWbW60HCGIy90BLP372YdomNiA==" saltValue="wgDtK4+U+fsBK2f0y4QsJ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election activeCell="E13" sqref="E13"/>
    </sheetView>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00">
        <f>14108.941*0.25*(1+'Fane 15. Nøgletal'!C14)</f>
        <v>3538.8751263250006</v>
      </c>
      <c r="F6" s="1"/>
      <c r="G6" s="1"/>
    </row>
    <row r="7" spans="1:7" x14ac:dyDescent="0.25">
      <c r="A7" s="1"/>
      <c r="B7" s="1"/>
      <c r="C7" s="1"/>
      <c r="D7" s="1"/>
      <c r="E7" s="99"/>
      <c r="F7" s="1"/>
      <c r="G7" s="1"/>
    </row>
    <row r="8" spans="1:7" x14ac:dyDescent="0.25">
      <c r="A8" s="1"/>
      <c r="B8" s="32" t="s">
        <v>68</v>
      </c>
      <c r="C8" s="33"/>
      <c r="D8" s="33"/>
      <c r="E8" s="33"/>
      <c r="F8" s="20"/>
      <c r="G8" s="1"/>
    </row>
    <row r="9" spans="1:7" ht="17.25" customHeight="1" x14ac:dyDescent="0.25">
      <c r="A9" s="1"/>
      <c r="B9" s="80" t="s">
        <v>17</v>
      </c>
      <c r="C9" s="80" t="s">
        <v>11</v>
      </c>
      <c r="D9" s="81"/>
      <c r="E9" s="80" t="s">
        <v>31</v>
      </c>
      <c r="F9" s="96"/>
      <c r="G9" s="1"/>
    </row>
    <row r="10" spans="1:7" x14ac:dyDescent="0.25">
      <c r="A10" s="1"/>
      <c r="B10" s="25" t="s">
        <v>241</v>
      </c>
      <c r="C10" s="22">
        <f>'Fane 10. Anlægsprojekter (§19) '!H11</f>
        <v>0</v>
      </c>
      <c r="D10" s="14" t="s">
        <v>3</v>
      </c>
      <c r="E10" s="9">
        <f>'Fane 10. Anlægsprojekter (§19) '!F11+'Fane 10. Anlægsprojekter (§19) '!J11</f>
        <v>0</v>
      </c>
      <c r="F10" s="14" t="s">
        <v>3</v>
      </c>
      <c r="G10" s="1"/>
    </row>
    <row r="11" spans="1:7" x14ac:dyDescent="0.25">
      <c r="A11" s="1"/>
      <c r="B11" s="39" t="s">
        <v>292</v>
      </c>
      <c r="C11" s="22">
        <v>234979</v>
      </c>
      <c r="D11" s="14" t="s">
        <v>3</v>
      </c>
      <c r="E11" s="9">
        <v>42837</v>
      </c>
      <c r="F11" s="14" t="s">
        <v>3</v>
      </c>
      <c r="G11" s="1"/>
    </row>
    <row r="12" spans="1:7" x14ac:dyDescent="0.25">
      <c r="A12" s="1"/>
      <c r="B12" s="25" t="s">
        <v>296</v>
      </c>
      <c r="C12" s="22">
        <v>0</v>
      </c>
      <c r="D12" s="14" t="s">
        <v>3</v>
      </c>
      <c r="E12" s="9">
        <f>14109*0.25*(1+'Fane 15. Nøgletal'!C14)</f>
        <v>3538.8899250000004</v>
      </c>
      <c r="F12" s="14" t="s">
        <v>3</v>
      </c>
      <c r="G12" s="1"/>
    </row>
    <row r="13" spans="1:7" x14ac:dyDescent="0.25">
      <c r="A13" s="1"/>
      <c r="B13" s="32" t="s">
        <v>144</v>
      </c>
      <c r="C13" s="12">
        <f>SUM(C10:C11)</f>
        <v>234979</v>
      </c>
      <c r="D13" s="13" t="s">
        <v>3</v>
      </c>
      <c r="E13" s="12">
        <f>SUM(E10:E12)</f>
        <v>46375.889925000003</v>
      </c>
      <c r="F13" s="13" t="s">
        <v>3</v>
      </c>
      <c r="G13" s="1"/>
    </row>
    <row r="14" spans="1:7" x14ac:dyDescent="0.25">
      <c r="A14" s="1"/>
      <c r="B14" s="32" t="s">
        <v>223</v>
      </c>
      <c r="C14" s="12">
        <f>C13*(1+'Fane 15. Nøgletal'!C15)</f>
        <v>243344.25240000003</v>
      </c>
      <c r="D14" s="13" t="s">
        <v>3</v>
      </c>
      <c r="E14" s="12">
        <f>E13*(1+'Fane 15. Nøgletal'!C15)</f>
        <v>48026.871606330009</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B50" s="1"/>
      <c r="C50" s="1"/>
      <c r="D50" s="1"/>
      <c r="E50" s="1"/>
      <c r="F50" s="1"/>
    </row>
  </sheetData>
  <sheetProtection algorithmName="SHA-512" hashValue="GpXAy3iSW0Zb8XcJ/PUAQ4NkKVKwxAP5faf+SIat7B91U4bwHxHYhTDMU3LRV4mRA8/GLMkko6dgKUNzVhCbcw==" saltValue="SP+OuMepa5MBwsEc0mPkO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258</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88" t="s">
        <v>85</v>
      </c>
      <c r="C7" s="89"/>
      <c r="D7" s="89"/>
      <c r="E7" s="89"/>
      <c r="F7" s="90"/>
      <c r="G7" s="1"/>
    </row>
    <row r="8" spans="1:7" x14ac:dyDescent="0.25">
      <c r="A8" s="1"/>
      <c r="B8" s="80" t="s">
        <v>17</v>
      </c>
      <c r="C8" s="80" t="s">
        <v>11</v>
      </c>
      <c r="D8" s="81"/>
      <c r="E8" s="80" t="s">
        <v>31</v>
      </c>
      <c r="F8" s="96"/>
      <c r="G8" s="1"/>
    </row>
    <row r="9" spans="1:7" x14ac:dyDescent="0.25">
      <c r="A9" s="1"/>
      <c r="B9" s="25" t="s">
        <v>293</v>
      </c>
      <c r="C9" s="22">
        <v>0</v>
      </c>
      <c r="D9" s="14" t="s">
        <v>3</v>
      </c>
      <c r="E9" s="22">
        <v>0</v>
      </c>
      <c r="F9" s="14" t="s">
        <v>3</v>
      </c>
      <c r="G9" s="1"/>
    </row>
    <row r="10" spans="1:7" x14ac:dyDescent="0.25">
      <c r="A10" s="1"/>
      <c r="B10" s="32" t="s">
        <v>232</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4"/>
      <c r="C13" s="94"/>
      <c r="D13" s="94"/>
      <c r="E13" s="94"/>
      <c r="F13" s="94"/>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9"/>
      <c r="C20" s="179"/>
      <c r="D20" s="179"/>
      <c r="E20" s="179"/>
      <c r="F20" s="179"/>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9"/>
      <c r="C27" s="179"/>
      <c r="D27" s="179"/>
      <c r="E27" s="179"/>
      <c r="F27" s="179"/>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dobZnfWqLVSDYTQTsVabEWtALorPWAF9bGdnDYVh7qw4+eoI8Ht2xNtUQUkq1XUAkNGPV+y7sVzLlk3p9XX73g==" saltValue="FTy/uayYVALJ+vIx8nmNnQ=="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2" t="s">
        <v>79</v>
      </c>
      <c r="C9" s="153"/>
      <c r="D9" s="153"/>
      <c r="E9" s="153"/>
      <c r="F9" s="155"/>
      <c r="G9" s="1"/>
    </row>
    <row r="10" spans="1:7" x14ac:dyDescent="0.25">
      <c r="A10" s="1"/>
      <c r="B10" s="173" t="s">
        <v>239</v>
      </c>
      <c r="C10" s="174"/>
      <c r="D10" s="175"/>
      <c r="E10" s="9">
        <v>0</v>
      </c>
      <c r="F10" s="14" t="s">
        <v>3</v>
      </c>
      <c r="G10" s="1"/>
    </row>
    <row r="11" spans="1:7" x14ac:dyDescent="0.25">
      <c r="A11" s="1"/>
      <c r="B11" s="131" t="s">
        <v>10</v>
      </c>
      <c r="C11" s="132"/>
      <c r="D11" s="133"/>
      <c r="E11" s="9">
        <f>-E10*'Fane 5. Individuelt eff. krav'!G9</f>
        <v>0</v>
      </c>
      <c r="F11" s="14" t="s">
        <v>3</v>
      </c>
      <c r="G11" s="1"/>
    </row>
    <row r="12" spans="1:7" x14ac:dyDescent="0.25">
      <c r="A12" s="1"/>
      <c r="B12" s="131" t="s">
        <v>25</v>
      </c>
      <c r="C12" s="132"/>
      <c r="D12" s="133"/>
      <c r="E12" s="9">
        <f>-E10*'Fane 15. Nøgletal'!C31</f>
        <v>0</v>
      </c>
      <c r="F12" s="14" t="s">
        <v>3</v>
      </c>
      <c r="G12" s="1"/>
    </row>
    <row r="13" spans="1:7" x14ac:dyDescent="0.25">
      <c r="A13" s="1"/>
      <c r="B13" s="152" t="s">
        <v>80</v>
      </c>
      <c r="C13" s="153"/>
      <c r="D13" s="155"/>
      <c r="E13" s="12">
        <f>SUM(E10:E12)*(1+'Fane 15. Nøgletal'!C15)^2</f>
        <v>0</v>
      </c>
      <c r="F13" s="13" t="s">
        <v>3</v>
      </c>
      <c r="G13" s="1"/>
    </row>
    <row r="14" spans="1:7" x14ac:dyDescent="0.25">
      <c r="A14" s="1"/>
      <c r="B14" s="1"/>
      <c r="C14" s="1"/>
      <c r="D14" s="1"/>
      <c r="E14" s="1"/>
      <c r="F14" s="1"/>
      <c r="G14" s="1"/>
    </row>
    <row r="15" spans="1:7" x14ac:dyDescent="0.25">
      <c r="A15" s="1"/>
      <c r="B15" s="152" t="s">
        <v>117</v>
      </c>
      <c r="C15" s="153"/>
      <c r="D15" s="153"/>
      <c r="E15" s="153"/>
      <c r="F15" s="155"/>
      <c r="G15" s="1"/>
    </row>
    <row r="16" spans="1:7" x14ac:dyDescent="0.25">
      <c r="A16" s="1"/>
      <c r="B16" s="173" t="s">
        <v>239</v>
      </c>
      <c r="C16" s="174"/>
      <c r="D16" s="175"/>
      <c r="E16" s="9">
        <v>0</v>
      </c>
      <c r="F16" s="14" t="s">
        <v>3</v>
      </c>
      <c r="G16" s="1"/>
    </row>
    <row r="17" spans="1:7" x14ac:dyDescent="0.25">
      <c r="A17" s="1"/>
      <c r="B17" s="131" t="s">
        <v>10</v>
      </c>
      <c r="C17" s="132"/>
      <c r="D17" s="133"/>
      <c r="E17" s="9">
        <f>-E16*'Fane 5. Individuelt eff. krav'!G9</f>
        <v>0</v>
      </c>
      <c r="F17" s="14" t="s">
        <v>3</v>
      </c>
      <c r="G17" s="1"/>
    </row>
    <row r="18" spans="1:7" x14ac:dyDescent="0.25">
      <c r="A18" s="1"/>
      <c r="B18" s="131" t="s">
        <v>25</v>
      </c>
      <c r="C18" s="132"/>
      <c r="D18" s="133"/>
      <c r="E18" s="9">
        <f>-E16*'Fane 15. Nøgletal'!C31</f>
        <v>0</v>
      </c>
      <c r="F18" s="14" t="s">
        <v>3</v>
      </c>
      <c r="G18" s="1"/>
    </row>
    <row r="19" spans="1:7" x14ac:dyDescent="0.25">
      <c r="A19" s="1"/>
      <c r="B19" s="152" t="s">
        <v>118</v>
      </c>
      <c r="C19" s="153"/>
      <c r="D19" s="155"/>
      <c r="E19" s="12">
        <f>SUM(E16:E18)*(1+'Fane 15. Nøgletal'!C15)^3</f>
        <v>0</v>
      </c>
      <c r="F19" s="13" t="s">
        <v>3</v>
      </c>
      <c r="G19" s="1"/>
    </row>
    <row r="20" spans="1:7" x14ac:dyDescent="0.25">
      <c r="A20" s="1"/>
      <c r="B20" s="1"/>
      <c r="C20" s="1"/>
      <c r="D20" s="1"/>
      <c r="E20" s="1"/>
      <c r="F20" s="1"/>
      <c r="G20" s="1"/>
    </row>
    <row r="21" spans="1:7" x14ac:dyDescent="0.25">
      <c r="A21" s="1"/>
      <c r="B21" s="152" t="s">
        <v>146</v>
      </c>
      <c r="C21" s="153"/>
      <c r="D21" s="153"/>
      <c r="E21" s="153"/>
      <c r="F21" s="155"/>
      <c r="G21" s="1"/>
    </row>
    <row r="22" spans="1:7" x14ac:dyDescent="0.25">
      <c r="A22" s="1"/>
      <c r="B22" s="173" t="s">
        <v>239</v>
      </c>
      <c r="C22" s="174"/>
      <c r="D22" s="175"/>
      <c r="E22" s="9">
        <v>0</v>
      </c>
      <c r="F22" s="14" t="s">
        <v>3</v>
      </c>
      <c r="G22" s="1"/>
    </row>
    <row r="23" spans="1:7" x14ac:dyDescent="0.25">
      <c r="A23" s="1"/>
      <c r="B23" s="131" t="s">
        <v>10</v>
      </c>
      <c r="C23" s="132"/>
      <c r="D23" s="133"/>
      <c r="E23" s="9">
        <f>-E22*'Fane 5. Individuelt eff. krav'!G9</f>
        <v>0</v>
      </c>
      <c r="F23" s="14" t="s">
        <v>3</v>
      </c>
      <c r="G23" s="1"/>
    </row>
    <row r="24" spans="1:7" x14ac:dyDescent="0.25">
      <c r="A24" s="1"/>
      <c r="B24" s="131" t="s">
        <v>25</v>
      </c>
      <c r="C24" s="132"/>
      <c r="D24" s="133"/>
      <c r="E24" s="9">
        <f>-E22*'Fane 15. Nøgletal'!C31</f>
        <v>0</v>
      </c>
      <c r="F24" s="14" t="s">
        <v>3</v>
      </c>
      <c r="G24" s="1"/>
    </row>
    <row r="25" spans="1:7" x14ac:dyDescent="0.25">
      <c r="A25" s="1"/>
      <c r="B25" s="152" t="s">
        <v>147</v>
      </c>
      <c r="C25" s="153"/>
      <c r="D25" s="155"/>
      <c r="E25" s="12">
        <f>SUM(E22:E24)*(1+'Fane 15. Nøgletal'!C15)^4</f>
        <v>0</v>
      </c>
      <c r="F25" s="13" t="s">
        <v>3</v>
      </c>
      <c r="G25" s="1"/>
    </row>
    <row r="26" spans="1:7" x14ac:dyDescent="0.25">
      <c r="A26" s="1"/>
      <c r="B26" s="1"/>
      <c r="C26" s="1"/>
      <c r="D26" s="1"/>
      <c r="E26" s="1"/>
      <c r="F26" s="1"/>
      <c r="G26" s="1"/>
    </row>
    <row r="27" spans="1:7" x14ac:dyDescent="0.25">
      <c r="A27" s="1"/>
      <c r="B27" s="152" t="s">
        <v>224</v>
      </c>
      <c r="C27" s="153"/>
      <c r="D27" s="153"/>
      <c r="E27" s="153"/>
      <c r="F27" s="155"/>
      <c r="G27" s="1"/>
    </row>
    <row r="28" spans="1:7" x14ac:dyDescent="0.25">
      <c r="A28" s="1"/>
      <c r="B28" s="173" t="s">
        <v>239</v>
      </c>
      <c r="C28" s="174"/>
      <c r="D28" s="175"/>
      <c r="E28" s="9">
        <v>0</v>
      </c>
      <c r="F28" s="14" t="s">
        <v>3</v>
      </c>
      <c r="G28" s="1"/>
    </row>
    <row r="29" spans="1:7" x14ac:dyDescent="0.25">
      <c r="A29" s="1"/>
      <c r="B29" s="131" t="s">
        <v>10</v>
      </c>
      <c r="C29" s="132"/>
      <c r="D29" s="133"/>
      <c r="E29" s="9">
        <f>-E28*'Fane 5. Individuelt eff. krav'!G9</f>
        <v>0</v>
      </c>
      <c r="F29" s="14" t="s">
        <v>3</v>
      </c>
      <c r="G29" s="1"/>
    </row>
    <row r="30" spans="1:7" x14ac:dyDescent="0.25">
      <c r="A30" s="1"/>
      <c r="B30" s="131" t="s">
        <v>25</v>
      </c>
      <c r="C30" s="132"/>
      <c r="D30" s="133"/>
      <c r="E30" s="9">
        <f>-E28*'Fane 15. Nøgletal'!C31</f>
        <v>0</v>
      </c>
      <c r="F30" s="14" t="s">
        <v>3</v>
      </c>
      <c r="G30" s="1"/>
    </row>
    <row r="31" spans="1:7" x14ac:dyDescent="0.25">
      <c r="A31" s="1"/>
      <c r="B31" s="152" t="s">
        <v>225</v>
      </c>
      <c r="C31" s="153"/>
      <c r="D31" s="155"/>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h2YzS3TXAa6uR//iP0TlhXAJRiHf0K/NzU6GgFD9ycGSJVcOqqIf0rDP49OkUlXiHlxC1ppzdEo5bXeRxdN0Qw==" saltValue="cm5kQO2hdd2p6OatWzOFr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2" t="s">
        <v>119</v>
      </c>
      <c r="C8" s="153"/>
      <c r="D8" s="153"/>
      <c r="E8" s="153"/>
      <c r="F8" s="155"/>
      <c r="G8" s="1"/>
    </row>
    <row r="9" spans="1:7" ht="15" customHeight="1" x14ac:dyDescent="0.25">
      <c r="A9" s="1"/>
      <c r="B9" s="95" t="s">
        <v>120</v>
      </c>
      <c r="C9" s="137" t="s">
        <v>11</v>
      </c>
      <c r="D9" s="139"/>
      <c r="E9" s="180" t="s">
        <v>31</v>
      </c>
      <c r="F9" s="181"/>
      <c r="G9" s="1"/>
    </row>
    <row r="10" spans="1:7" x14ac:dyDescent="0.25">
      <c r="A10" s="1"/>
      <c r="B10" s="25" t="s">
        <v>282</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A3MsJILViWQ06wcraZe6wHSEzFvShVdLqKA2U4wPGrfnyu6k9t+N0HN4BeanrRItVDI6ThiUGFQV4OTYcWkFAA==" saltValue="ovx51oiWsL9yczzvLsMKD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261</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2" t="s">
        <v>81</v>
      </c>
      <c r="C9" s="153"/>
      <c r="D9" s="153"/>
      <c r="E9" s="153"/>
      <c r="F9" s="155"/>
      <c r="G9" s="1"/>
    </row>
    <row r="10" spans="1:7" ht="26.25" x14ac:dyDescent="0.25">
      <c r="A10" s="1"/>
      <c r="B10" s="95" t="s">
        <v>18</v>
      </c>
      <c r="C10" s="95" t="s">
        <v>11</v>
      </c>
      <c r="D10" s="96"/>
      <c r="E10" s="95" t="s">
        <v>31</v>
      </c>
      <c r="F10" s="96"/>
      <c r="G10" s="1"/>
    </row>
    <row r="11" spans="1:7" x14ac:dyDescent="0.25">
      <c r="A11" s="1"/>
      <c r="B11" s="25" t="s">
        <v>182</v>
      </c>
      <c r="C11" s="9">
        <v>0</v>
      </c>
      <c r="D11" s="14" t="s">
        <v>3</v>
      </c>
      <c r="E11" s="9">
        <v>0</v>
      </c>
      <c r="F11" s="14" t="s">
        <v>3</v>
      </c>
      <c r="G11" s="1"/>
    </row>
    <row r="12" spans="1:7" x14ac:dyDescent="0.25">
      <c r="A12" s="1"/>
      <c r="B12" s="32" t="s">
        <v>233</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9"/>
      <c r="C15" s="179"/>
      <c r="D15" s="179"/>
      <c r="E15" s="179"/>
      <c r="F15" s="179"/>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9"/>
      <c r="C21" s="179"/>
      <c r="D21" s="179"/>
      <c r="E21" s="179"/>
      <c r="F21" s="179"/>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9"/>
      <c r="C27" s="179"/>
      <c r="D27" s="179"/>
      <c r="E27" s="179"/>
      <c r="F27" s="179"/>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lSsfwlRsfeb+RRodQlyiZW6YYgpA7iYtMBuTq+34dIzhUtHC1WhxVy/VMz0+eQ/V6Uyi8VkhxgZw5Tj6RKC+EA==" saltValue="upIyNPg74mGX8cxKVWOfm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50"/>
  <sheetViews>
    <sheetView showGridLines="0" view="pageLayout" topLeftCell="A3" zoomScale="89" zoomScaleNormal="100" zoomScalePageLayoutView="89" workbookViewId="0">
      <selection activeCell="C19" sqref="C19"/>
    </sheetView>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9" t="s">
        <v>194</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7" t="s">
        <v>93</v>
      </c>
      <c r="C9" s="7">
        <f>'Fane 3. Omkostninger i ØR2022'!E20</f>
        <v>52021775.663072683</v>
      </c>
      <c r="D9" s="8" t="s">
        <v>3</v>
      </c>
      <c r="E9" s="1"/>
    </row>
    <row r="10" spans="1:5" x14ac:dyDescent="0.25">
      <c r="A10" s="1"/>
      <c r="B10" s="78" t="s">
        <v>235</v>
      </c>
      <c r="C10" s="7">
        <f>('Fane 3. Omkostninger i ØR2022'!E10+'Fane 3. Omkostninger i ØR2022'!E14)*(1+'Fane 15. Nøgletal'!C14)*(1-'Fane 15. Nøgletal'!C31-'Fane 5. Individuelt eff. krav'!G9)</f>
        <v>210536.83793946254</v>
      </c>
      <c r="D10" s="8" t="s">
        <v>3</v>
      </c>
      <c r="E10" s="1"/>
    </row>
    <row r="11" spans="1:5" x14ac:dyDescent="0.25">
      <c r="A11" s="1"/>
      <c r="B11" s="78" t="s">
        <v>236</v>
      </c>
      <c r="C11" s="7">
        <f>('Fane 3. Omkostninger i ØR2022'!E11+'Fane 3. Omkostninger i ØR2022'!E15)*(1+'Fane 15. Nøgletal'!C14)*(1-'Fane 15. Nøgletal'!C25-'Fane 5. Individuelt eff. krav'!G9)</f>
        <v>58121.198654279702</v>
      </c>
      <c r="D11" s="8" t="s">
        <v>3</v>
      </c>
      <c r="E11" s="1"/>
    </row>
    <row r="12" spans="1:5" ht="17.25" customHeight="1" x14ac:dyDescent="0.25">
      <c r="A12" s="1"/>
      <c r="B12" s="79" t="s">
        <v>39</v>
      </c>
      <c r="C12" s="40">
        <f>'Fane 11.1. Varige tillæg'!C14</f>
        <v>243344.25240000003</v>
      </c>
      <c r="D12" s="8" t="s">
        <v>3</v>
      </c>
      <c r="E12" s="1"/>
    </row>
    <row r="13" spans="1:5" ht="17.25" customHeight="1" x14ac:dyDescent="0.25">
      <c r="A13" s="1"/>
      <c r="B13" s="79" t="s">
        <v>40</v>
      </c>
      <c r="C13" s="40">
        <f>'Fane 11.1. Varige tillæg'!E14</f>
        <v>48026.871606330009</v>
      </c>
      <c r="D13" s="8" t="s">
        <v>3</v>
      </c>
      <c r="E13" s="1"/>
    </row>
    <row r="14" spans="1:5" ht="17.25" customHeight="1" x14ac:dyDescent="0.25">
      <c r="A14" s="1"/>
      <c r="B14" s="79" t="s">
        <v>28</v>
      </c>
      <c r="C14" s="9">
        <f>-'Fane 14. Bortfald'!C13</f>
        <v>0</v>
      </c>
      <c r="D14" s="8" t="s">
        <v>3</v>
      </c>
      <c r="E14" s="1"/>
    </row>
    <row r="15" spans="1:5" ht="17.25" customHeight="1" x14ac:dyDescent="0.25">
      <c r="A15" s="1"/>
      <c r="B15" s="79" t="s">
        <v>27</v>
      </c>
      <c r="C15" s="9">
        <f>-'Fane 14. Bortfald'!E13</f>
        <v>0</v>
      </c>
      <c r="D15" s="8" t="s">
        <v>3</v>
      </c>
      <c r="E15" s="1"/>
    </row>
    <row r="16" spans="1:5" ht="17.25" customHeight="1" x14ac:dyDescent="0.25">
      <c r="A16" s="1"/>
      <c r="B16" s="79" t="s">
        <v>113</v>
      </c>
      <c r="C16" s="9">
        <f>'Fane 13. Tilknyttet virksomhed'!C12</f>
        <v>0</v>
      </c>
      <c r="D16" s="8" t="s">
        <v>3</v>
      </c>
      <c r="E16" s="1"/>
    </row>
    <row r="17" spans="1:5" ht="17.25" customHeight="1" x14ac:dyDescent="0.25">
      <c r="A17" s="1"/>
      <c r="B17" s="79" t="s">
        <v>114</v>
      </c>
      <c r="C17" s="9">
        <f>'Fane 13. Tilknyttet virksomhed'!E12</f>
        <v>0</v>
      </c>
      <c r="D17" s="8" t="s">
        <v>3</v>
      </c>
      <c r="E17" s="1"/>
    </row>
    <row r="18" spans="1:5" ht="17.25" customHeight="1" x14ac:dyDescent="0.25">
      <c r="A18" s="1"/>
      <c r="B18" s="79" t="s">
        <v>19</v>
      </c>
      <c r="C18" s="9">
        <f>SUM(C9)*'Fane 15. Nøgletal'!C14+SUM(C12:C17)*'Fane 15. Nøgletal'!C15</f>
        <v>182044.67170276519</v>
      </c>
      <c r="D18" s="8" t="s">
        <v>3</v>
      </c>
      <c r="E18" s="1"/>
    </row>
    <row r="19" spans="1:5" ht="17.25" customHeight="1" x14ac:dyDescent="0.25">
      <c r="A19" s="1"/>
      <c r="B19" s="79" t="s">
        <v>10</v>
      </c>
      <c r="C19" s="9">
        <f>-SUM(C9,C12:C18)*'Fane 5. Individuelt eff. krav'!G9</f>
        <v>-495456.1864614673</v>
      </c>
      <c r="D19" s="8" t="s">
        <v>3</v>
      </c>
      <c r="E19" s="1"/>
    </row>
    <row r="20" spans="1:5" ht="17.25" customHeight="1" x14ac:dyDescent="0.25">
      <c r="A20" s="1"/>
      <c r="B20" s="79" t="s">
        <v>25</v>
      </c>
      <c r="C20" s="9">
        <f>-'Fane 4.1. Gen. krav - drift'!G48</f>
        <v>-408265.99526982562</v>
      </c>
      <c r="D20" s="8" t="s">
        <v>3</v>
      </c>
      <c r="E20" s="42"/>
    </row>
    <row r="21" spans="1:5" ht="15" customHeight="1" x14ac:dyDescent="0.25">
      <c r="A21" s="1"/>
      <c r="B21" s="79" t="s">
        <v>26</v>
      </c>
      <c r="C21" s="9">
        <f>-'Fane 4.2. Gen. krav - anlæg'!G47</f>
        <v>-484302.66118944815</v>
      </c>
      <c r="D21" s="8" t="s">
        <v>3</v>
      </c>
      <c r="E21" s="1"/>
    </row>
    <row r="22" spans="1:5" ht="15" customHeight="1" x14ac:dyDescent="0.25">
      <c r="A22" s="1"/>
      <c r="B22" s="82" t="s">
        <v>21</v>
      </c>
      <c r="C22" s="10">
        <f>SUM(C9,C12:C21)</f>
        <v>51107166.615861036</v>
      </c>
      <c r="D22" s="11" t="s">
        <v>3</v>
      </c>
      <c r="E22" s="1"/>
    </row>
    <row r="23" spans="1:5" ht="15" customHeight="1" x14ac:dyDescent="0.25">
      <c r="A23" s="1"/>
      <c r="B23" s="32" t="s">
        <v>12</v>
      </c>
      <c r="C23" s="33"/>
      <c r="D23" s="20"/>
      <c r="E23" s="1"/>
    </row>
    <row r="24" spans="1:5" ht="15" customHeight="1" x14ac:dyDescent="0.25">
      <c r="A24" s="1"/>
      <c r="B24" s="95" t="s">
        <v>12</v>
      </c>
      <c r="C24" s="10">
        <f>'Fane 6. Ikke-påvirkelige omk.'!C17+'Fane 6. Ikke-påvirkelige omk.'!C21+'Fane 6. Ikke-påvirkelige omk.'!C29</f>
        <v>12747108.067199681</v>
      </c>
      <c r="D24" s="11" t="s">
        <v>3</v>
      </c>
      <c r="E24" s="1"/>
    </row>
    <row r="25" spans="1:5" ht="15" customHeight="1" x14ac:dyDescent="0.25">
      <c r="A25" s="1"/>
      <c r="B25" s="32" t="s">
        <v>74</v>
      </c>
      <c r="C25" s="33"/>
      <c r="D25" s="20"/>
      <c r="E25" s="1"/>
    </row>
    <row r="26" spans="1:5" ht="15" customHeight="1" x14ac:dyDescent="0.25">
      <c r="A26" s="1"/>
      <c r="B26" s="82" t="s">
        <v>74</v>
      </c>
      <c r="C26" s="10">
        <f>'Fane 12. Periodevise driftsomk.'!E13</f>
        <v>0</v>
      </c>
      <c r="D26" s="11" t="s">
        <v>3</v>
      </c>
      <c r="E26" s="1"/>
    </row>
    <row r="27" spans="1:5" ht="15" customHeight="1" x14ac:dyDescent="0.25">
      <c r="A27" s="1"/>
      <c r="B27" s="32" t="s">
        <v>73</v>
      </c>
      <c r="C27" s="33"/>
      <c r="D27" s="20"/>
      <c r="E27" s="1"/>
    </row>
    <row r="28" spans="1:5" x14ac:dyDescent="0.25">
      <c r="A28" s="1"/>
      <c r="B28" s="79" t="s">
        <v>69</v>
      </c>
      <c r="C28" s="9">
        <f>'Fane 11.2. Engangstillæg'!C11</f>
        <v>0</v>
      </c>
      <c r="D28" s="8" t="s">
        <v>3</v>
      </c>
      <c r="E28" s="1"/>
    </row>
    <row r="29" spans="1:5" ht="15" customHeight="1" x14ac:dyDescent="0.25">
      <c r="A29" s="1"/>
      <c r="B29" s="79" t="s">
        <v>70</v>
      </c>
      <c r="C29" s="9">
        <f>'Fane 11.2. Engangstillæg'!E11</f>
        <v>0</v>
      </c>
      <c r="D29" s="8" t="s">
        <v>3</v>
      </c>
      <c r="E29" s="1"/>
    </row>
    <row r="30" spans="1:5" ht="15" customHeight="1" x14ac:dyDescent="0.25">
      <c r="A30" s="1"/>
      <c r="B30" s="79" t="s">
        <v>243</v>
      </c>
      <c r="C30" s="9">
        <f>-C28*('Fane 15. Nøgletal'!C31+'Fane 5. Individuelt eff. krav'!G9)</f>
        <v>0</v>
      </c>
      <c r="D30" s="8" t="s">
        <v>3</v>
      </c>
      <c r="E30" s="1"/>
    </row>
    <row r="31" spans="1:5" ht="15" customHeight="1" x14ac:dyDescent="0.25">
      <c r="A31" s="1"/>
      <c r="B31" s="41" t="s">
        <v>244</v>
      </c>
      <c r="C31" s="9">
        <f>-C28*('Fane 15. Nøgletal'!C26+'Fane 5. Individuelt eff. krav'!G9)</f>
        <v>0</v>
      </c>
      <c r="D31" s="8" t="s">
        <v>3</v>
      </c>
      <c r="E31" s="1"/>
    </row>
    <row r="32" spans="1:5" x14ac:dyDescent="0.25">
      <c r="A32" s="1"/>
      <c r="B32" s="82" t="s">
        <v>75</v>
      </c>
      <c r="C32" s="10">
        <f>SUM(C28:C31)</f>
        <v>0</v>
      </c>
      <c r="D32" s="11" t="s">
        <v>3</v>
      </c>
      <c r="E32" s="1"/>
    </row>
    <row r="33" spans="1:5" x14ac:dyDescent="0.25">
      <c r="A33" s="1"/>
      <c r="B33" s="32" t="s">
        <v>193</v>
      </c>
      <c r="C33" s="33"/>
      <c r="D33" s="20"/>
      <c r="E33" s="1"/>
    </row>
    <row r="34" spans="1:5" x14ac:dyDescent="0.25">
      <c r="A34" s="1"/>
      <c r="B34" s="95" t="s">
        <v>193</v>
      </c>
      <c r="C34" s="10">
        <f>'Fane 9. Korrektion af ØR2021'!E17</f>
        <v>-596009</v>
      </c>
      <c r="D34" s="11" t="s">
        <v>3</v>
      </c>
      <c r="E34" s="1"/>
    </row>
    <row r="35" spans="1:5" x14ac:dyDescent="0.25">
      <c r="A35" s="1"/>
      <c r="B35" s="32" t="s">
        <v>131</v>
      </c>
      <c r="C35" s="33"/>
      <c r="D35" s="20"/>
      <c r="E35" s="1"/>
    </row>
    <row r="36" spans="1:5" x14ac:dyDescent="0.25">
      <c r="A36" s="1"/>
      <c r="B36" s="95" t="s">
        <v>189</v>
      </c>
      <c r="C36" s="10">
        <f>'Fane 7. Kontrol af ØR2021'!E30</f>
        <v>-3323274.8188187405</v>
      </c>
      <c r="D36" s="11" t="s">
        <v>3</v>
      </c>
      <c r="E36" s="1"/>
    </row>
    <row r="37" spans="1:5" ht="26.25" customHeight="1" x14ac:dyDescent="0.25">
      <c r="A37" s="1"/>
      <c r="B37" s="120" t="s">
        <v>178</v>
      </c>
      <c r="C37" s="121"/>
      <c r="D37" s="122"/>
      <c r="E37" s="1"/>
    </row>
    <row r="38" spans="1:5" x14ac:dyDescent="0.25">
      <c r="A38" s="1"/>
      <c r="B38" s="92" t="s">
        <v>179</v>
      </c>
      <c r="C38" s="10">
        <f>'Fane 8. Skattesagen'!G12</f>
        <v>0</v>
      </c>
      <c r="D38" s="11" t="s">
        <v>3</v>
      </c>
      <c r="E38" s="1"/>
    </row>
    <row r="39" spans="1:5" x14ac:dyDescent="0.25">
      <c r="A39" s="1"/>
      <c r="B39" s="32" t="s">
        <v>78</v>
      </c>
      <c r="C39" s="12">
        <f>SUM(C22,C24,C26,C32,C34,C36,C38)</f>
        <v>59934990.86424198</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Mk2kEUgC299V3ffh8S508TXGu4MoqH+Vi1qfsofJSCg8pEWQSx+u4v3o/fr0wE+KBl4Qa4ZN2GioEqf1wWsFEw==" saltValue="suVKUww8+W/EAjbGaV/yJQ=="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election activeCell="C14" sqref="C14"/>
    </sheetView>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4" t="s">
        <v>262</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1" t="s">
        <v>180</v>
      </c>
      <c r="C9" s="26">
        <v>1.2699999999999999E-2</v>
      </c>
      <c r="D9" s="1"/>
    </row>
    <row r="10" spans="1:4" x14ac:dyDescent="0.25">
      <c r="A10" s="1"/>
      <c r="B10" s="91" t="s">
        <v>100</v>
      </c>
      <c r="C10" s="26">
        <v>1.7500000000000002E-2</v>
      </c>
      <c r="D10" s="1"/>
    </row>
    <row r="11" spans="1:4" x14ac:dyDescent="0.25">
      <c r="A11" s="1"/>
      <c r="B11" s="91"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1" t="s">
        <v>181</v>
      </c>
      <c r="C20" s="23">
        <v>9.1000000000000004E-3</v>
      </c>
      <c r="D20" s="1"/>
    </row>
    <row r="21" spans="1:4" x14ac:dyDescent="0.25">
      <c r="A21" s="1"/>
      <c r="B21" s="91" t="s">
        <v>102</v>
      </c>
      <c r="C21" s="23">
        <v>1.77E-2</v>
      </c>
      <c r="D21" s="1"/>
    </row>
    <row r="22" spans="1:4" x14ac:dyDescent="0.25">
      <c r="A22" s="1"/>
      <c r="B22" s="91" t="s">
        <v>101</v>
      </c>
      <c r="C22" s="23">
        <v>8.6999999999999994E-3</v>
      </c>
      <c r="D22" s="1"/>
    </row>
    <row r="23" spans="1:4" x14ac:dyDescent="0.25">
      <c r="A23" s="1"/>
      <c r="B23" s="91" t="s">
        <v>103</v>
      </c>
      <c r="C23" s="23">
        <v>2.8400000000000002E-2</v>
      </c>
      <c r="D23" s="1"/>
    </row>
    <row r="24" spans="1:4" x14ac:dyDescent="0.25">
      <c r="A24" s="1"/>
      <c r="B24" s="91" t="s">
        <v>122</v>
      </c>
      <c r="C24" s="30">
        <v>2.75E-2</v>
      </c>
      <c r="D24" s="1"/>
    </row>
    <row r="25" spans="1:4" x14ac:dyDescent="0.25">
      <c r="A25" s="1"/>
      <c r="B25" s="91" t="s">
        <v>149</v>
      </c>
      <c r="C25" s="30">
        <v>1.4800000000000001E-2</v>
      </c>
      <c r="D25" s="1"/>
    </row>
    <row r="26" spans="1:4" x14ac:dyDescent="0.25">
      <c r="A26" s="1"/>
      <c r="B26" s="91"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1"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RBR0SKCXmVNIQ7hdYHfCWoTu6N9tJOVjGuz0DqIEl5w5ZvwMWkR08LvBRmP58a/FHMoZ35bbnexlls2lHwXe8A==" saltValue="+dCUs4zvuice4B4B73yC1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5"/>
  <sheetViews>
    <sheetView showGridLines="0" view="pageLayout" zoomScaleNormal="100" workbookViewId="0">
      <selection activeCell="C9" sqref="C9:C23"/>
    </sheetView>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9" t="s">
        <v>195</v>
      </c>
      <c r="C3" s="119"/>
      <c r="D3" s="119"/>
      <c r="E3" s="1"/>
    </row>
    <row r="4" spans="1:5" ht="15" customHeight="1" x14ac:dyDescent="0.25">
      <c r="A4" s="1"/>
      <c r="B4" s="119"/>
      <c r="C4" s="119"/>
      <c r="D4" s="119"/>
      <c r="E4" s="1"/>
    </row>
    <row r="5" spans="1:5" x14ac:dyDescent="0.25">
      <c r="A5" s="1"/>
      <c r="B5" s="123" t="s">
        <v>22</v>
      </c>
      <c r="C5" s="123"/>
      <c r="D5" s="123"/>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7" t="s">
        <v>115</v>
      </c>
      <c r="C9" s="7">
        <f>'Fane 2.1. Økonomisk ramme 2023'!C22</f>
        <v>51107166.615861036</v>
      </c>
      <c r="D9" s="8" t="s">
        <v>3</v>
      </c>
      <c r="E9" s="1"/>
    </row>
    <row r="10" spans="1:5" ht="15" customHeight="1" x14ac:dyDescent="0.25">
      <c r="A10" s="1"/>
      <c r="B10" s="78" t="s">
        <v>19</v>
      </c>
      <c r="C10" s="7">
        <f>SUM(C9:C9)*'Fane 15. Nøgletal'!C15</f>
        <v>1819415.1315246529</v>
      </c>
      <c r="D10" s="8" t="s">
        <v>3</v>
      </c>
      <c r="E10" s="1"/>
    </row>
    <row r="11" spans="1:5" ht="15" customHeight="1" x14ac:dyDescent="0.25">
      <c r="A11" s="1"/>
      <c r="B11" s="78" t="s">
        <v>10</v>
      </c>
      <c r="C11" s="9">
        <f>-SUM(C9:C10)*'Fane 5. Individuelt eff. krav'!G9</f>
        <v>-499527.70199134253</v>
      </c>
      <c r="D11" s="8" t="s">
        <v>3</v>
      </c>
      <c r="E11" s="1"/>
    </row>
    <row r="12" spans="1:5" ht="15" customHeight="1" x14ac:dyDescent="0.25">
      <c r="A12" s="1"/>
      <c r="B12" s="78" t="s">
        <v>25</v>
      </c>
      <c r="C12" s="9">
        <f>-'Fane 4.1. Gen. krav - drift'!G54</f>
        <v>-414344.25940740289</v>
      </c>
      <c r="D12" s="8" t="s">
        <v>3</v>
      </c>
      <c r="E12" s="1"/>
    </row>
    <row r="13" spans="1:5" ht="15" customHeight="1" x14ac:dyDescent="0.25">
      <c r="A13" s="1"/>
      <c r="B13" s="78" t="s">
        <v>26</v>
      </c>
      <c r="C13" s="9">
        <f>-'Fane 4.2. Gen. krav - anlæg'!G52</f>
        <v>0</v>
      </c>
      <c r="D13" s="8" t="s">
        <v>3</v>
      </c>
      <c r="E13" s="1"/>
    </row>
    <row r="14" spans="1:5" ht="15" customHeight="1" x14ac:dyDescent="0.25">
      <c r="A14" s="1"/>
      <c r="B14" s="35" t="s">
        <v>21</v>
      </c>
      <c r="C14" s="10">
        <f>SUM(C9:C13)</f>
        <v>52012709.785986945</v>
      </c>
      <c r="D14" s="11" t="s">
        <v>3</v>
      </c>
      <c r="E14" s="1"/>
    </row>
    <row r="15" spans="1:5" ht="15" customHeight="1" x14ac:dyDescent="0.25">
      <c r="A15" s="1"/>
      <c r="B15" s="32" t="s">
        <v>12</v>
      </c>
      <c r="C15" s="33"/>
      <c r="D15" s="20"/>
      <c r="E15" s="1"/>
    </row>
    <row r="16" spans="1:5" ht="15" customHeight="1" x14ac:dyDescent="0.25">
      <c r="A16" s="1"/>
      <c r="B16" s="95" t="s">
        <v>12</v>
      </c>
      <c r="C16" s="10">
        <f>'Fane 6. Ikke-påvirkelige omk.'!C17*(1+'Fane 15. Nøgletal'!C15)+'Fane 6. Ikke-påvirkelige omk.'!C22+'Fane 6. Ikke-påvirkelige omk.'!C30</f>
        <v>11457070.15399199</v>
      </c>
      <c r="D16" s="11" t="s">
        <v>3</v>
      </c>
      <c r="E16" s="1"/>
    </row>
    <row r="17" spans="1:5" ht="15" customHeight="1" x14ac:dyDescent="0.25">
      <c r="A17" s="1"/>
      <c r="B17" s="32" t="s">
        <v>74</v>
      </c>
      <c r="C17" s="33"/>
      <c r="D17" s="20"/>
      <c r="E17" s="1"/>
    </row>
    <row r="18" spans="1:5" ht="15" customHeight="1" x14ac:dyDescent="0.25">
      <c r="A18" s="1"/>
      <c r="B18" s="82"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5" t="s">
        <v>189</v>
      </c>
      <c r="C20" s="10">
        <f>'Fane 7. Kontrol af ØR2021'!E36</f>
        <v>-1458015.5846287273</v>
      </c>
      <c r="D20" s="11" t="s">
        <v>3</v>
      </c>
      <c r="E20" s="1"/>
    </row>
    <row r="21" spans="1:5" x14ac:dyDescent="0.25">
      <c r="A21" s="1"/>
      <c r="B21" s="34" t="s">
        <v>178</v>
      </c>
      <c r="C21" s="33"/>
      <c r="D21" s="20"/>
      <c r="E21" s="1"/>
    </row>
    <row r="22" spans="1:5" x14ac:dyDescent="0.25">
      <c r="A22" s="1"/>
      <c r="B22" s="92" t="s">
        <v>179</v>
      </c>
      <c r="C22" s="10">
        <f>'Fane 8. Skattesagen'!G13</f>
        <v>0</v>
      </c>
      <c r="D22" s="11" t="s">
        <v>3</v>
      </c>
      <c r="E22" s="1"/>
    </row>
    <row r="23" spans="1:5" ht="15" customHeight="1" x14ac:dyDescent="0.25">
      <c r="A23" s="1"/>
      <c r="B23" s="32" t="s">
        <v>116</v>
      </c>
      <c r="C23" s="12">
        <f>SUM(C14,C16,C18,C20,C22)</f>
        <v>62011764.355350211</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hR0jGSwjkCv9dzUOS1u+npSqSNkg/pKSiMSF65O7plmEkCOnEN8N77aRMiApXw8d95eOg/SO/6C8vrw1eeCz0g==" saltValue="TLaPeZ3SD/HV+1SVxsaHs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5"/>
  <sheetViews>
    <sheetView showGridLines="0" view="pageLayout" zoomScale="91" zoomScaleNormal="100" zoomScalePageLayoutView="91" workbookViewId="0">
      <selection activeCell="C8" sqref="C8:C22"/>
    </sheetView>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9" t="s">
        <v>196</v>
      </c>
      <c r="C3" s="119"/>
      <c r="D3" s="119"/>
      <c r="E3" s="1"/>
    </row>
    <row r="4" spans="1:5" ht="15" customHeight="1" x14ac:dyDescent="0.25">
      <c r="A4" s="1"/>
      <c r="B4" s="119"/>
      <c r="C4" s="119"/>
      <c r="D4" s="119"/>
      <c r="E4" s="1"/>
    </row>
    <row r="5" spans="1:5" x14ac:dyDescent="0.25">
      <c r="A5" s="1"/>
      <c r="B5" s="123" t="s">
        <v>22</v>
      </c>
      <c r="C5" s="123"/>
      <c r="D5" s="123"/>
      <c r="E5" s="1"/>
    </row>
    <row r="6" spans="1:5" x14ac:dyDescent="0.25">
      <c r="A6" s="1"/>
      <c r="B6" s="1"/>
      <c r="C6" s="1"/>
      <c r="D6" s="1"/>
      <c r="E6" s="1"/>
    </row>
    <row r="7" spans="1:5" x14ac:dyDescent="0.25">
      <c r="A7" s="1"/>
      <c r="B7" s="32" t="s">
        <v>13</v>
      </c>
      <c r="C7" s="33"/>
      <c r="D7" s="20"/>
      <c r="E7" s="1"/>
    </row>
    <row r="8" spans="1:5" ht="15" customHeight="1" x14ac:dyDescent="0.25">
      <c r="A8" s="1"/>
      <c r="B8" s="77" t="s">
        <v>137</v>
      </c>
      <c r="C8" s="7">
        <f>'Fane 2.2. Økonomisk ramme 2024'!C14</f>
        <v>52012709.785986945</v>
      </c>
      <c r="D8" s="8" t="s">
        <v>3</v>
      </c>
      <c r="E8" s="1"/>
    </row>
    <row r="9" spans="1:5" ht="15" customHeight="1" x14ac:dyDescent="0.25">
      <c r="A9" s="1"/>
      <c r="B9" s="78" t="s">
        <v>19</v>
      </c>
      <c r="C9" s="44">
        <f>SUM(C8:C8)*'Fane 15. Nøgletal'!C15</f>
        <v>1851652.4683811353</v>
      </c>
      <c r="D9" s="8" t="s">
        <v>3</v>
      </c>
      <c r="E9" s="1"/>
    </row>
    <row r="10" spans="1:5" ht="15" customHeight="1" x14ac:dyDescent="0.25">
      <c r="A10" s="1"/>
      <c r="B10" s="78" t="s">
        <v>10</v>
      </c>
      <c r="C10" s="9">
        <f>-SUM(C8:C9)*'Fane 5. Individuelt eff. krav'!G9</f>
        <v>-508378.59177411848</v>
      </c>
      <c r="D10" s="8" t="s">
        <v>3</v>
      </c>
      <c r="E10" s="1"/>
    </row>
    <row r="11" spans="1:5" ht="15" customHeight="1" x14ac:dyDescent="0.25">
      <c r="A11" s="1"/>
      <c r="B11" s="78" t="s">
        <v>25</v>
      </c>
      <c r="C11" s="9">
        <f>-'Fane 4.1. Gen. krav - drift'!G59</f>
        <v>-420513.01674146036</v>
      </c>
      <c r="D11" s="8" t="s">
        <v>3</v>
      </c>
      <c r="E11" s="1"/>
    </row>
    <row r="12" spans="1:5" ht="15" customHeight="1" x14ac:dyDescent="0.25">
      <c r="A12" s="1"/>
      <c r="B12" s="78" t="s">
        <v>26</v>
      </c>
      <c r="C12" s="9">
        <f>-'Fane 4.2. Gen. krav - anlæg'!G57</f>
        <v>0</v>
      </c>
      <c r="D12" s="8" t="s">
        <v>3</v>
      </c>
      <c r="E12" s="1"/>
    </row>
    <row r="13" spans="1:5" ht="15.75" customHeight="1" x14ac:dyDescent="0.25">
      <c r="A13" s="1"/>
      <c r="B13" s="35" t="s">
        <v>21</v>
      </c>
      <c r="C13" s="10">
        <f>SUM(C8:C12)</f>
        <v>52935470.645852499</v>
      </c>
      <c r="D13" s="11" t="s">
        <v>3</v>
      </c>
      <c r="E13" s="1"/>
    </row>
    <row r="14" spans="1:5" x14ac:dyDescent="0.25">
      <c r="A14" s="1"/>
      <c r="B14" s="32" t="s">
        <v>12</v>
      </c>
      <c r="C14" s="33"/>
      <c r="D14" s="20"/>
      <c r="E14" s="1"/>
    </row>
    <row r="15" spans="1:5" ht="15" customHeight="1" x14ac:dyDescent="0.25">
      <c r="A15" s="1"/>
      <c r="B15" s="95" t="s">
        <v>12</v>
      </c>
      <c r="C15" s="10">
        <f>'Fane 6. Ikke-påvirkelige omk.'!C17*(1+'Fane 15. Nøgletal'!C15)^2+'Fane 6. Ikke-påvirkelige omk.'!C23+'Fane 6. Ikke-påvirkelige omk.'!C31</f>
        <v>11843723.931074105</v>
      </c>
      <c r="D15" s="11" t="s">
        <v>3</v>
      </c>
      <c r="E15" s="1"/>
    </row>
    <row r="16" spans="1:5" ht="15" customHeight="1" x14ac:dyDescent="0.25">
      <c r="A16" s="1"/>
      <c r="B16" s="32" t="s">
        <v>74</v>
      </c>
      <c r="C16" s="33"/>
      <c r="D16" s="20"/>
      <c r="E16" s="1"/>
    </row>
    <row r="17" spans="1:5" ht="15" customHeight="1" x14ac:dyDescent="0.25">
      <c r="A17" s="1"/>
      <c r="B17" s="82"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5" t="s">
        <v>189</v>
      </c>
      <c r="C19" s="10">
        <f>'Fane 7. Kontrol af ØR2021'!E36</f>
        <v>-1458015.5846287273</v>
      </c>
      <c r="D19" s="11" t="s">
        <v>3</v>
      </c>
      <c r="E19" s="1"/>
    </row>
    <row r="20" spans="1:5" x14ac:dyDescent="0.25">
      <c r="A20" s="1"/>
      <c r="B20" s="34" t="s">
        <v>178</v>
      </c>
      <c r="C20" s="33"/>
      <c r="D20" s="20"/>
      <c r="E20" s="1"/>
    </row>
    <row r="21" spans="1:5" x14ac:dyDescent="0.25">
      <c r="A21" s="1"/>
      <c r="B21" s="92" t="s">
        <v>179</v>
      </c>
      <c r="C21" s="10">
        <f>'Fane 8. Skattesagen'!G14</f>
        <v>0</v>
      </c>
      <c r="D21" s="11" t="s">
        <v>3</v>
      </c>
      <c r="E21" s="1"/>
    </row>
    <row r="22" spans="1:5" x14ac:dyDescent="0.25">
      <c r="A22" s="1"/>
      <c r="B22" s="32" t="s">
        <v>138</v>
      </c>
      <c r="C22" s="12">
        <f>SUM(C13,C15,C17,C19,C21)</f>
        <v>63321178.992297873</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uyRvdHI3qJSSNQ2ukFwT/ulRV5Ne+romYvo9QMJWLKUzRWRC1p+Jo47gculNkG83SWUEI3EuiB/QtEzVdkszFg==" saltValue="tCinLDoGDWXpucUBvKUPV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7"/>
  <sheetViews>
    <sheetView showGridLines="0" view="pageLayout" zoomScaleNormal="100" workbookViewId="0">
      <selection activeCell="C8" sqref="C8:C22"/>
    </sheetView>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9" t="s">
        <v>197</v>
      </c>
      <c r="C3" s="119"/>
      <c r="D3" s="119"/>
      <c r="E3" s="1"/>
    </row>
    <row r="4" spans="1:5" ht="15" customHeight="1" x14ac:dyDescent="0.25">
      <c r="A4" s="1"/>
      <c r="B4" s="119"/>
      <c r="C4" s="119"/>
      <c r="D4" s="119"/>
      <c r="E4" s="1"/>
    </row>
    <row r="5" spans="1:5" x14ac:dyDescent="0.25">
      <c r="A5" s="1"/>
      <c r="B5" s="123" t="s">
        <v>22</v>
      </c>
      <c r="C5" s="123"/>
      <c r="D5" s="123"/>
      <c r="E5" s="1"/>
    </row>
    <row r="6" spans="1:5" x14ac:dyDescent="0.25">
      <c r="A6" s="1"/>
      <c r="B6" s="1"/>
      <c r="C6" s="1"/>
      <c r="D6" s="1"/>
      <c r="E6" s="1"/>
    </row>
    <row r="7" spans="1:5" x14ac:dyDescent="0.25">
      <c r="A7" s="1"/>
      <c r="B7" s="32" t="s">
        <v>13</v>
      </c>
      <c r="C7" s="33"/>
      <c r="D7" s="20"/>
      <c r="E7" s="1"/>
    </row>
    <row r="8" spans="1:5" ht="15" customHeight="1" x14ac:dyDescent="0.25">
      <c r="A8" s="1"/>
      <c r="B8" s="77" t="s">
        <v>198</v>
      </c>
      <c r="C8" s="7">
        <f>'Fane 2.3. Økonomisk ramme 2025'!C13</f>
        <v>52935470.645852499</v>
      </c>
      <c r="D8" s="8" t="s">
        <v>3</v>
      </c>
      <c r="E8" s="1"/>
    </row>
    <row r="9" spans="1:5" ht="15" customHeight="1" x14ac:dyDescent="0.25">
      <c r="A9" s="1"/>
      <c r="B9" s="78" t="s">
        <v>19</v>
      </c>
      <c r="C9" s="44">
        <f>SUM(C8:C8)*'Fane 15. Nøgletal'!C15</f>
        <v>1884502.7549923488</v>
      </c>
      <c r="D9" s="8" t="s">
        <v>3</v>
      </c>
      <c r="E9" s="1"/>
    </row>
    <row r="10" spans="1:5" ht="15" customHeight="1" x14ac:dyDescent="0.25">
      <c r="A10" s="1"/>
      <c r="B10" s="78" t="s">
        <v>10</v>
      </c>
      <c r="C10" s="9">
        <f>-SUM(C8:C9)*'Fane 5. Individuelt eff. krav'!G9</f>
        <v>-517397.76936384506</v>
      </c>
      <c r="D10" s="8" t="s">
        <v>3</v>
      </c>
      <c r="E10" s="1"/>
    </row>
    <row r="11" spans="1:5" ht="15" customHeight="1" x14ac:dyDescent="0.25">
      <c r="A11" s="1"/>
      <c r="B11" s="78" t="s">
        <v>25</v>
      </c>
      <c r="C11" s="9">
        <f>-'Fane 4.1. Gen. krav - drift'!G64</f>
        <v>-426773.61453470722</v>
      </c>
      <c r="D11" s="8" t="s">
        <v>3</v>
      </c>
      <c r="E11" s="1"/>
    </row>
    <row r="12" spans="1:5" ht="15" customHeight="1" x14ac:dyDescent="0.25">
      <c r="A12" s="1"/>
      <c r="B12" s="78" t="s">
        <v>26</v>
      </c>
      <c r="C12" s="9">
        <f>-'Fane 4.2. Gen. krav - anlæg'!G62</f>
        <v>0</v>
      </c>
      <c r="D12" s="8" t="s">
        <v>3</v>
      </c>
      <c r="E12" s="1"/>
    </row>
    <row r="13" spans="1:5" ht="15.75" customHeight="1" x14ac:dyDescent="0.25">
      <c r="A13" s="1"/>
      <c r="B13" s="35" t="s">
        <v>21</v>
      </c>
      <c r="C13" s="10">
        <f>SUM(C8:C12)</f>
        <v>53875802.016946301</v>
      </c>
      <c r="D13" s="11" t="s">
        <v>3</v>
      </c>
      <c r="E13" s="1"/>
    </row>
    <row r="14" spans="1:5" x14ac:dyDescent="0.25">
      <c r="A14" s="1"/>
      <c r="B14" s="32" t="s">
        <v>12</v>
      </c>
      <c r="C14" s="33"/>
      <c r="D14" s="20"/>
      <c r="E14" s="1"/>
    </row>
    <row r="15" spans="1:5" ht="15" customHeight="1" x14ac:dyDescent="0.25">
      <c r="A15" s="1"/>
      <c r="B15" s="95" t="s">
        <v>12</v>
      </c>
      <c r="C15" s="10">
        <f>'Fane 6. Ikke-påvirkelige omk.'!C17*(1+'Fane 15. Nøgletal'!C15)^3+'Fane 6. Ikke-påvirkelige omk.'!C24+'Fane 6. Ikke-påvirkelige omk.'!C32</f>
        <v>12244142.582620345</v>
      </c>
      <c r="D15" s="11" t="s">
        <v>3</v>
      </c>
      <c r="E15" s="1"/>
    </row>
    <row r="16" spans="1:5" ht="15" customHeight="1" x14ac:dyDescent="0.25">
      <c r="A16" s="1"/>
      <c r="B16" s="32" t="s">
        <v>74</v>
      </c>
      <c r="C16" s="33"/>
      <c r="D16" s="20"/>
      <c r="E16" s="1"/>
    </row>
    <row r="17" spans="1:5" ht="15" customHeight="1" x14ac:dyDescent="0.25">
      <c r="A17" s="1"/>
      <c r="B17" s="82"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5" t="s">
        <v>189</v>
      </c>
      <c r="C19" s="10">
        <f>'Fane 7. Kontrol af ØR2021'!E36</f>
        <v>-1458015.5846287273</v>
      </c>
      <c r="D19" s="11" t="s">
        <v>3</v>
      </c>
      <c r="E19" s="1"/>
    </row>
    <row r="20" spans="1:5" ht="15" customHeight="1" x14ac:dyDescent="0.25">
      <c r="A20" s="1"/>
      <c r="B20" s="34" t="s">
        <v>178</v>
      </c>
      <c r="C20" s="33"/>
      <c r="D20" s="20"/>
      <c r="E20" s="1"/>
    </row>
    <row r="21" spans="1:5" ht="15" customHeight="1" x14ac:dyDescent="0.25">
      <c r="A21" s="1"/>
      <c r="B21" s="92" t="s">
        <v>179</v>
      </c>
      <c r="C21" s="10">
        <f>'Fane 8. Skattesagen'!G15</f>
        <v>0</v>
      </c>
      <c r="D21" s="11" t="s">
        <v>3</v>
      </c>
      <c r="E21" s="1"/>
    </row>
    <row r="22" spans="1:5" ht="15" customHeight="1" x14ac:dyDescent="0.25">
      <c r="A22" s="1"/>
      <c r="B22" s="32" t="s">
        <v>199</v>
      </c>
      <c r="C22" s="12">
        <f>SUM(C13,C15,C17,C19,C21)</f>
        <v>64661929.014937922</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Bf22aWGV14KGDDmxyph4wWw+69Lhf8/wFu52A/FS4B+/eDb1W6+GEqJDtZo4ErTRd8MeQAcGu+02X6tdIq+nA==" saltValue="1jHXAaSwCmrjCeB45PjE0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1"/>
  <sheetViews>
    <sheetView showGridLines="0" view="pageLayout" topLeftCell="A7" zoomScaleNormal="100" workbookViewId="0">
      <selection activeCell="E11" sqref="E11"/>
    </sheetView>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200</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25" t="s">
        <v>24</v>
      </c>
      <c r="C9" s="126"/>
      <c r="D9" s="127"/>
      <c r="E9" s="63">
        <v>52974775.870170668</v>
      </c>
      <c r="F9" s="8" t="s">
        <v>3</v>
      </c>
      <c r="G9" s="1"/>
    </row>
    <row r="10" spans="1:7" ht="14.25" customHeight="1" x14ac:dyDescent="0.25">
      <c r="A10" s="1"/>
      <c r="B10" s="131" t="s">
        <v>39</v>
      </c>
      <c r="C10" s="132"/>
      <c r="D10" s="133"/>
      <c r="E10" s="63">
        <v>216209.14340000003</v>
      </c>
      <c r="F10" s="8" t="s">
        <v>3</v>
      </c>
      <c r="G10" s="1"/>
    </row>
    <row r="11" spans="1:7" ht="14.25" customHeight="1" x14ac:dyDescent="0.25">
      <c r="A11" s="1"/>
      <c r="B11" s="131" t="s">
        <v>40</v>
      </c>
      <c r="C11" s="132"/>
      <c r="D11" s="133"/>
      <c r="E11" s="63">
        <v>59369.023375000004</v>
      </c>
      <c r="F11" s="8" t="s">
        <v>3</v>
      </c>
      <c r="G11" s="1"/>
    </row>
    <row r="12" spans="1:7" x14ac:dyDescent="0.25">
      <c r="A12" s="1"/>
      <c r="B12" s="128" t="s">
        <v>28</v>
      </c>
      <c r="C12" s="129"/>
      <c r="D12" s="130"/>
      <c r="E12" s="64">
        <v>0</v>
      </c>
      <c r="F12" s="8" t="s">
        <v>3</v>
      </c>
      <c r="G12" s="1"/>
    </row>
    <row r="13" spans="1:7" ht="15" customHeight="1" x14ac:dyDescent="0.25">
      <c r="A13" s="1"/>
      <c r="B13" s="128" t="s">
        <v>27</v>
      </c>
      <c r="C13" s="129"/>
      <c r="D13" s="130"/>
      <c r="E13" s="64">
        <v>0</v>
      </c>
      <c r="F13" s="8" t="s">
        <v>3</v>
      </c>
      <c r="G13" s="1"/>
    </row>
    <row r="14" spans="1:7" x14ac:dyDescent="0.25">
      <c r="A14" s="1"/>
      <c r="B14" s="128" t="s">
        <v>113</v>
      </c>
      <c r="C14" s="129"/>
      <c r="D14" s="130"/>
      <c r="E14" s="64">
        <v>0</v>
      </c>
      <c r="F14" s="8" t="s">
        <v>3</v>
      </c>
      <c r="G14" s="1"/>
    </row>
    <row r="15" spans="1:7" x14ac:dyDescent="0.25">
      <c r="A15" s="1"/>
      <c r="B15" s="128" t="s">
        <v>114</v>
      </c>
      <c r="C15" s="129"/>
      <c r="D15" s="130"/>
      <c r="E15" s="64">
        <v>0</v>
      </c>
      <c r="F15" s="8" t="s">
        <v>3</v>
      </c>
      <c r="G15" s="1"/>
    </row>
    <row r="16" spans="1:7" x14ac:dyDescent="0.25">
      <c r="A16" s="1"/>
      <c r="B16" s="128" t="s">
        <v>19</v>
      </c>
      <c r="C16" s="129"/>
      <c r="D16" s="130"/>
      <c r="E16" s="64">
        <v>175726.16832192068</v>
      </c>
      <c r="F16" s="8" t="s">
        <v>3</v>
      </c>
      <c r="G16" s="1"/>
    </row>
    <row r="17" spans="1:7" x14ac:dyDescent="0.25">
      <c r="A17" s="1"/>
      <c r="B17" s="128" t="s">
        <v>10</v>
      </c>
      <c r="C17" s="129"/>
      <c r="D17" s="130"/>
      <c r="E17" s="64">
        <v>-504242.03094621195</v>
      </c>
      <c r="F17" s="8" t="s">
        <v>3</v>
      </c>
      <c r="G17" s="1"/>
    </row>
    <row r="18" spans="1:7" x14ac:dyDescent="0.25">
      <c r="A18" s="1"/>
      <c r="B18" s="128" t="s">
        <v>25</v>
      </c>
      <c r="C18" s="129"/>
      <c r="D18" s="130"/>
      <c r="E18" s="64">
        <v>-410101.61275354266</v>
      </c>
      <c r="F18" s="8" t="s">
        <v>3</v>
      </c>
      <c r="G18" s="1"/>
    </row>
    <row r="19" spans="1:7" x14ac:dyDescent="0.25">
      <c r="A19" s="1"/>
      <c r="B19" s="128" t="s">
        <v>26</v>
      </c>
      <c r="C19" s="129"/>
      <c r="D19" s="130"/>
      <c r="E19" s="64">
        <v>-489961.14404827857</v>
      </c>
      <c r="F19" s="8" t="s">
        <v>3</v>
      </c>
      <c r="G19" s="1"/>
    </row>
    <row r="20" spans="1:7" x14ac:dyDescent="0.25">
      <c r="A20" s="1"/>
      <c r="B20" s="140" t="s">
        <v>21</v>
      </c>
      <c r="C20" s="141"/>
      <c r="D20" s="142"/>
      <c r="E20" s="65">
        <v>52021775.663072683</v>
      </c>
      <c r="F20" s="45" t="s">
        <v>3</v>
      </c>
      <c r="G20" s="1"/>
    </row>
    <row r="21" spans="1:7" x14ac:dyDescent="0.25">
      <c r="A21" s="1"/>
      <c r="B21" s="32" t="s">
        <v>12</v>
      </c>
      <c r="C21" s="33"/>
      <c r="D21" s="33"/>
      <c r="E21" s="66"/>
      <c r="F21" s="20"/>
      <c r="G21" s="1"/>
    </row>
    <row r="22" spans="1:7" ht="14.25" customHeight="1" x14ac:dyDescent="0.25">
      <c r="A22" s="1"/>
      <c r="B22" s="137" t="s">
        <v>12</v>
      </c>
      <c r="C22" s="138"/>
      <c r="D22" s="139"/>
      <c r="E22" s="67">
        <v>12115121.124826651</v>
      </c>
      <c r="F22" s="10" t="s">
        <v>3</v>
      </c>
      <c r="G22" s="1"/>
    </row>
    <row r="23" spans="1:7" ht="14.25" customHeight="1" x14ac:dyDescent="0.25">
      <c r="A23" s="1"/>
      <c r="B23" s="32" t="s">
        <v>74</v>
      </c>
      <c r="C23" s="33"/>
      <c r="D23" s="33"/>
      <c r="E23" s="66"/>
      <c r="F23" s="20"/>
      <c r="G23" s="1"/>
    </row>
    <row r="24" spans="1:7" x14ac:dyDescent="0.25">
      <c r="A24" s="1"/>
      <c r="B24" s="143" t="s">
        <v>74</v>
      </c>
      <c r="C24" s="144"/>
      <c r="D24" s="145"/>
      <c r="E24" s="67">
        <v>0</v>
      </c>
      <c r="F24" s="10" t="s">
        <v>3</v>
      </c>
      <c r="G24" s="1"/>
    </row>
    <row r="25" spans="1:7" x14ac:dyDescent="0.25">
      <c r="A25" s="1"/>
      <c r="B25" s="32" t="s">
        <v>73</v>
      </c>
      <c r="C25" s="33"/>
      <c r="D25" s="33"/>
      <c r="E25" s="66"/>
      <c r="F25" s="20"/>
      <c r="G25" s="1"/>
    </row>
    <row r="26" spans="1:7" ht="15.4" customHeight="1" x14ac:dyDescent="0.25">
      <c r="A26" s="1"/>
      <c r="B26" s="131" t="s">
        <v>69</v>
      </c>
      <c r="C26" s="132"/>
      <c r="D26" s="133"/>
      <c r="E26" s="68">
        <v>1435005.0501732794</v>
      </c>
      <c r="F26" s="8" t="s">
        <v>3</v>
      </c>
      <c r="G26" s="1"/>
    </row>
    <row r="27" spans="1:7" ht="15.75" customHeight="1" x14ac:dyDescent="0.25">
      <c r="A27" s="1"/>
      <c r="B27" s="131" t="s">
        <v>70</v>
      </c>
      <c r="C27" s="132"/>
      <c r="D27" s="133"/>
      <c r="E27" s="68">
        <v>0</v>
      </c>
      <c r="F27" s="8" t="s">
        <v>3</v>
      </c>
      <c r="G27" s="1"/>
    </row>
    <row r="28" spans="1:7" x14ac:dyDescent="0.25">
      <c r="A28" s="1"/>
      <c r="B28" s="82" t="s">
        <v>75</v>
      </c>
      <c r="C28" s="36"/>
      <c r="D28" s="37"/>
      <c r="E28" s="67">
        <v>1435005.0501732794</v>
      </c>
      <c r="F28" s="11" t="s">
        <v>3</v>
      </c>
      <c r="G28" s="1"/>
    </row>
    <row r="29" spans="1:7" x14ac:dyDescent="0.25">
      <c r="A29" s="1"/>
      <c r="B29" s="32" t="s">
        <v>136</v>
      </c>
      <c r="C29" s="33"/>
      <c r="D29" s="33"/>
      <c r="E29" s="66"/>
      <c r="F29" s="20"/>
      <c r="G29" s="1"/>
    </row>
    <row r="30" spans="1:7" ht="15" customHeight="1" x14ac:dyDescent="0.25">
      <c r="A30" s="1"/>
      <c r="B30" s="137" t="s">
        <v>136</v>
      </c>
      <c r="C30" s="138"/>
      <c r="D30" s="139"/>
      <c r="E30" s="67">
        <v>-596009</v>
      </c>
      <c r="F30" s="11" t="s">
        <v>3</v>
      </c>
      <c r="G30" s="1"/>
    </row>
    <row r="31" spans="1:7" ht="15" customHeight="1" x14ac:dyDescent="0.25">
      <c r="A31" s="1"/>
      <c r="B31" s="32" t="s">
        <v>131</v>
      </c>
      <c r="C31" s="32"/>
      <c r="D31" s="32"/>
      <c r="E31" s="66"/>
      <c r="F31" s="20"/>
      <c r="G31" s="1"/>
    </row>
    <row r="32" spans="1:7" ht="15" customHeight="1" x14ac:dyDescent="0.25">
      <c r="A32" s="1"/>
      <c r="B32" s="137" t="s">
        <v>189</v>
      </c>
      <c r="C32" s="138"/>
      <c r="D32" s="139"/>
      <c r="E32" s="67">
        <v>-3323274.6336126328</v>
      </c>
      <c r="F32" s="11" t="s">
        <v>3</v>
      </c>
      <c r="G32" s="1"/>
    </row>
    <row r="33" spans="1:7" ht="15" customHeight="1" x14ac:dyDescent="0.25">
      <c r="A33" s="1"/>
      <c r="B33" s="34" t="s">
        <v>178</v>
      </c>
      <c r="C33" s="34"/>
      <c r="D33" s="34"/>
      <c r="E33" s="66"/>
      <c r="F33" s="20"/>
      <c r="G33" s="1"/>
    </row>
    <row r="34" spans="1:7" ht="15" customHeight="1" x14ac:dyDescent="0.25">
      <c r="A34" s="1"/>
      <c r="B34" s="92" t="s">
        <v>179</v>
      </c>
      <c r="C34" s="92"/>
      <c r="D34" s="92"/>
      <c r="E34" s="67">
        <v>0</v>
      </c>
      <c r="F34" s="11" t="s">
        <v>3</v>
      </c>
      <c r="G34" s="1"/>
    </row>
    <row r="35" spans="1:7" x14ac:dyDescent="0.25">
      <c r="A35" s="1"/>
      <c r="B35" s="46" t="s">
        <v>29</v>
      </c>
      <c r="C35" s="48"/>
      <c r="D35" s="48"/>
      <c r="E35" s="98">
        <v>61652617.958906859</v>
      </c>
      <c r="F35" s="47" t="s">
        <v>3</v>
      </c>
      <c r="G35" s="1"/>
    </row>
    <row r="36" spans="1:7" ht="27" customHeight="1" x14ac:dyDescent="0.25">
      <c r="A36" s="1"/>
      <c r="B36" s="134" t="s">
        <v>202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nYG0zmaiM9nQfLC79ECmQp4qsQcWKvk8apVGftIDAthvHsQrK7MYBC4KItgJlSsnqvUavyN2toEczRywl3d8Pg==" saltValue="3yZPrhn47d4YZoUAbE5bJQ=="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8"/>
  <sheetViews>
    <sheetView showGridLines="0" view="pageLayout" topLeftCell="A19" zoomScaleNormal="100" workbookViewId="0">
      <selection activeCell="G47" sqref="G47"/>
    </sheetView>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4" t="s">
        <v>99</v>
      </c>
      <c r="C1" s="124"/>
      <c r="D1" s="124"/>
      <c r="E1" s="124"/>
      <c r="F1" s="124"/>
      <c r="G1" s="124"/>
      <c r="H1" s="124"/>
      <c r="I1" s="1"/>
    </row>
    <row r="2" spans="1:9" ht="15" customHeight="1" x14ac:dyDescent="0.25">
      <c r="A2" s="1"/>
      <c r="B2" s="124"/>
      <c r="C2" s="124"/>
      <c r="D2" s="124"/>
      <c r="E2" s="124"/>
      <c r="F2" s="124"/>
      <c r="G2" s="124"/>
      <c r="H2" s="124"/>
      <c r="I2" s="1"/>
    </row>
    <row r="3" spans="1:9" ht="15" customHeight="1" x14ac:dyDescent="0.25">
      <c r="A3" s="1"/>
      <c r="B3" s="124"/>
      <c r="C3" s="124"/>
      <c r="D3" s="124"/>
      <c r="E3" s="124"/>
      <c r="F3" s="124"/>
      <c r="G3" s="124"/>
      <c r="H3" s="124"/>
      <c r="I3" s="1"/>
    </row>
    <row r="4" spans="1:9" x14ac:dyDescent="0.25">
      <c r="A4" s="1"/>
      <c r="B4" s="152" t="s">
        <v>154</v>
      </c>
      <c r="C4" s="153"/>
      <c r="D4" s="153"/>
      <c r="E4" s="153"/>
      <c r="F4" s="153"/>
      <c r="G4" s="153"/>
      <c r="H4" s="155"/>
      <c r="I4" s="1"/>
    </row>
    <row r="5" spans="1:9" x14ac:dyDescent="0.25">
      <c r="A5" s="1"/>
      <c r="B5" s="146" t="s">
        <v>155</v>
      </c>
      <c r="C5" s="147"/>
      <c r="D5" s="147"/>
      <c r="E5" s="147"/>
      <c r="F5" s="148"/>
      <c r="G5" s="24">
        <v>20670010.917066451</v>
      </c>
      <c r="H5" s="14" t="s">
        <v>3</v>
      </c>
      <c r="I5" s="1"/>
    </row>
    <row r="6" spans="1:9" ht="15" customHeight="1" x14ac:dyDescent="0.25">
      <c r="A6" s="1"/>
      <c r="B6" s="134" t="s">
        <v>156</v>
      </c>
      <c r="C6" s="135"/>
      <c r="D6" s="135"/>
      <c r="E6" s="135"/>
      <c r="F6" s="136"/>
      <c r="G6" s="69">
        <v>0</v>
      </c>
      <c r="H6" s="14" t="s">
        <v>3</v>
      </c>
      <c r="I6" s="1"/>
    </row>
    <row r="7" spans="1:9" x14ac:dyDescent="0.25">
      <c r="A7" s="1"/>
      <c r="B7" s="146" t="s">
        <v>157</v>
      </c>
      <c r="C7" s="147"/>
      <c r="D7" s="147"/>
      <c r="E7" s="147"/>
      <c r="F7" s="148"/>
      <c r="G7" s="69">
        <f>SUM(G5:G6)*'Fane 15. Nøgletal'!C31</f>
        <v>413400.21834132902</v>
      </c>
      <c r="H7" s="14" t="s">
        <v>3</v>
      </c>
      <c r="I7" s="1"/>
    </row>
    <row r="8" spans="1:9" x14ac:dyDescent="0.25">
      <c r="A8" s="1"/>
      <c r="B8" s="32"/>
      <c r="C8" s="33"/>
      <c r="D8" s="33"/>
      <c r="E8" s="33"/>
      <c r="F8" s="33"/>
      <c r="G8" s="70"/>
      <c r="H8" s="20"/>
      <c r="I8" s="1"/>
    </row>
    <row r="9" spans="1:9" x14ac:dyDescent="0.25">
      <c r="A9" s="1"/>
      <c r="B9" s="1"/>
      <c r="C9" s="1"/>
      <c r="D9" s="1"/>
      <c r="E9" s="1"/>
      <c r="F9" s="1"/>
      <c r="G9" s="71"/>
      <c r="H9" s="1"/>
      <c r="I9" s="1"/>
    </row>
    <row r="10" spans="1:9" x14ac:dyDescent="0.25">
      <c r="A10" s="1"/>
      <c r="B10" s="152" t="s">
        <v>49</v>
      </c>
      <c r="C10" s="153"/>
      <c r="D10" s="153"/>
      <c r="E10" s="153"/>
      <c r="F10" s="153"/>
      <c r="G10" s="154"/>
      <c r="H10" s="155"/>
      <c r="I10" s="1"/>
    </row>
    <row r="11" spans="1:9" x14ac:dyDescent="0.25">
      <c r="A11" s="1"/>
      <c r="B11" s="146" t="s">
        <v>158</v>
      </c>
      <c r="C11" s="147"/>
      <c r="D11" s="147"/>
      <c r="E11" s="147"/>
      <c r="F11" s="148"/>
      <c r="G11" s="69">
        <f>(G5-G7)*(1+'Fane 15. Nøgletal'!C10)</f>
        <v>20611101.385952815</v>
      </c>
      <c r="H11" s="14" t="s">
        <v>3</v>
      </c>
      <c r="I11" s="1"/>
    </row>
    <row r="12" spans="1:9" x14ac:dyDescent="0.25">
      <c r="A12" s="1"/>
      <c r="B12" s="146" t="s">
        <v>110</v>
      </c>
      <c r="C12" s="147"/>
      <c r="D12" s="147"/>
      <c r="E12" s="147"/>
      <c r="F12" s="148"/>
      <c r="G12" s="69">
        <v>0</v>
      </c>
      <c r="H12" s="14" t="s">
        <v>3</v>
      </c>
      <c r="I12" s="1"/>
    </row>
    <row r="13" spans="1:9" x14ac:dyDescent="0.25">
      <c r="A13" s="1"/>
      <c r="B13" s="134" t="s">
        <v>108</v>
      </c>
      <c r="C13" s="135"/>
      <c r="D13" s="135"/>
      <c r="E13" s="135"/>
      <c r="F13" s="136"/>
      <c r="G13" s="69">
        <v>0</v>
      </c>
      <c r="H13" s="14" t="s">
        <v>3</v>
      </c>
      <c r="I13" s="1"/>
    </row>
    <row r="14" spans="1:9" x14ac:dyDescent="0.25">
      <c r="A14" s="1"/>
      <c r="B14" s="158" t="s">
        <v>159</v>
      </c>
      <c r="C14" s="156"/>
      <c r="D14" s="156"/>
      <c r="E14" s="156"/>
      <c r="F14" s="157"/>
      <c r="G14" s="69">
        <v>0</v>
      </c>
      <c r="H14" s="14" t="s">
        <v>3</v>
      </c>
      <c r="I14" s="1"/>
    </row>
    <row r="15" spans="1:9" x14ac:dyDescent="0.25">
      <c r="A15" s="1"/>
      <c r="B15" s="146" t="s">
        <v>42</v>
      </c>
      <c r="C15" s="147"/>
      <c r="D15" s="147"/>
      <c r="E15" s="147"/>
      <c r="F15" s="148"/>
      <c r="G15" s="69">
        <f>SUM(G11:G14)*'Fane 15. Nøgletal'!C31</f>
        <v>412222.02771905629</v>
      </c>
      <c r="H15" s="14" t="s">
        <v>3</v>
      </c>
      <c r="I15" s="1"/>
    </row>
    <row r="16" spans="1:9" x14ac:dyDescent="0.25">
      <c r="A16" s="1"/>
      <c r="B16" s="32"/>
      <c r="C16" s="33"/>
      <c r="D16" s="33"/>
      <c r="E16" s="33"/>
      <c r="F16" s="33"/>
      <c r="G16" s="70"/>
      <c r="H16" s="20"/>
      <c r="I16" s="1"/>
    </row>
    <row r="17" spans="1:9" x14ac:dyDescent="0.25">
      <c r="A17" s="1"/>
      <c r="B17" s="1"/>
      <c r="C17" s="1"/>
      <c r="D17" s="1"/>
      <c r="E17" s="1"/>
      <c r="F17" s="1"/>
      <c r="G17" s="71"/>
      <c r="H17" s="1"/>
      <c r="I17" s="1"/>
    </row>
    <row r="18" spans="1:9" x14ac:dyDescent="0.25">
      <c r="A18" s="1"/>
      <c r="B18" s="152" t="s">
        <v>50</v>
      </c>
      <c r="C18" s="153"/>
      <c r="D18" s="153"/>
      <c r="E18" s="153"/>
      <c r="F18" s="153"/>
      <c r="G18" s="154"/>
      <c r="H18" s="155"/>
      <c r="I18" s="1"/>
    </row>
    <row r="19" spans="1:9" x14ac:dyDescent="0.25">
      <c r="A19" s="1"/>
      <c r="B19" s="146" t="s">
        <v>43</v>
      </c>
      <c r="C19" s="147"/>
      <c r="D19" s="147"/>
      <c r="E19" s="147"/>
      <c r="F19" s="148"/>
      <c r="G19" s="69">
        <f>(G11+G12+G14-G15)*(1+'Fane 15. Nøgletal'!C10)</f>
        <v>20552359.747002851</v>
      </c>
      <c r="H19" s="14" t="s">
        <v>3</v>
      </c>
      <c r="I19" s="1"/>
    </row>
    <row r="20" spans="1:9" x14ac:dyDescent="0.25">
      <c r="A20" s="1"/>
      <c r="B20" s="158" t="s">
        <v>44</v>
      </c>
      <c r="C20" s="156"/>
      <c r="D20" s="156"/>
      <c r="E20" s="156"/>
      <c r="F20" s="157"/>
      <c r="G20" s="69">
        <v>0</v>
      </c>
      <c r="H20" s="14" t="s">
        <v>3</v>
      </c>
      <c r="I20" s="1"/>
    </row>
    <row r="21" spans="1:9" x14ac:dyDescent="0.25">
      <c r="A21" s="1"/>
      <c r="B21" s="146" t="s">
        <v>45</v>
      </c>
      <c r="C21" s="147"/>
      <c r="D21" s="147"/>
      <c r="E21" s="147"/>
      <c r="F21" s="148"/>
      <c r="G21" s="69">
        <f>(G19+G20)*'Fane 15. Nøgletal'!C31</f>
        <v>411047.19494005706</v>
      </c>
      <c r="H21" s="14" t="s">
        <v>3</v>
      </c>
      <c r="I21" s="1"/>
    </row>
    <row r="22" spans="1:9" x14ac:dyDescent="0.25">
      <c r="A22" s="1"/>
      <c r="B22" s="32"/>
      <c r="C22" s="33"/>
      <c r="D22" s="33"/>
      <c r="E22" s="33"/>
      <c r="F22" s="33"/>
      <c r="G22" s="70"/>
      <c r="H22" s="20"/>
      <c r="I22" s="1"/>
    </row>
    <row r="23" spans="1:9" x14ac:dyDescent="0.25">
      <c r="A23" s="1"/>
      <c r="B23" s="1"/>
      <c r="C23" s="1"/>
      <c r="D23" s="1"/>
      <c r="E23" s="1"/>
      <c r="F23" s="1"/>
      <c r="G23" s="71"/>
      <c r="H23" s="1"/>
      <c r="I23" s="1"/>
    </row>
    <row r="24" spans="1:9" x14ac:dyDescent="0.25">
      <c r="A24" s="1"/>
      <c r="B24" s="152" t="s">
        <v>51</v>
      </c>
      <c r="C24" s="153"/>
      <c r="D24" s="153"/>
      <c r="E24" s="153"/>
      <c r="F24" s="153"/>
      <c r="G24" s="154"/>
      <c r="H24" s="155"/>
      <c r="I24" s="1"/>
    </row>
    <row r="25" spans="1:9" x14ac:dyDescent="0.25">
      <c r="A25" s="1"/>
      <c r="B25" s="146" t="s">
        <v>46</v>
      </c>
      <c r="C25" s="147"/>
      <c r="D25" s="147"/>
      <c r="E25" s="147"/>
      <c r="F25" s="148"/>
      <c r="G25" s="69">
        <f>G19*(1-'Fane 15. Nøgletal'!C31)*(1+'Fane 15. Nøgletal'!C10)+G20*(1-'Fane 15. Nøgletal'!C31)*(1+'Fane 15. Nøgletal'!C11)</f>
        <v>20493785.521723896</v>
      </c>
      <c r="H25" s="14" t="s">
        <v>3</v>
      </c>
      <c r="I25" s="1"/>
    </row>
    <row r="26" spans="1:9" x14ac:dyDescent="0.25">
      <c r="A26" s="1"/>
      <c r="B26" s="149" t="s">
        <v>160</v>
      </c>
      <c r="C26" s="150"/>
      <c r="D26" s="150"/>
      <c r="E26" s="150"/>
      <c r="F26" s="151"/>
      <c r="G26" s="69">
        <f>G20*(1-'Fane 15. Nøgletal'!C31)*(1+'Fane 15. Nøgletal'!C11)</f>
        <v>0</v>
      </c>
      <c r="H26" s="14" t="s">
        <v>3</v>
      </c>
      <c r="I26" s="1"/>
    </row>
    <row r="27" spans="1:9" x14ac:dyDescent="0.25">
      <c r="A27" s="1"/>
      <c r="B27" s="158" t="s">
        <v>47</v>
      </c>
      <c r="C27" s="156"/>
      <c r="D27" s="156"/>
      <c r="E27" s="156"/>
      <c r="F27" s="157"/>
      <c r="G27" s="69">
        <v>75767.27854212001</v>
      </c>
      <c r="H27" s="14" t="s">
        <v>3</v>
      </c>
      <c r="I27" s="1"/>
    </row>
    <row r="28" spans="1:9" x14ac:dyDescent="0.25">
      <c r="A28" s="1"/>
      <c r="B28" s="146" t="s">
        <v>48</v>
      </c>
      <c r="C28" s="147"/>
      <c r="D28" s="147"/>
      <c r="E28" s="147"/>
      <c r="F28" s="148"/>
      <c r="G28" s="69">
        <f>SUM(G25,G27)*'Fane 15. Nøgletal'!C31</f>
        <v>411391.05600532034</v>
      </c>
      <c r="H28" s="14" t="s">
        <v>3</v>
      </c>
      <c r="I28" s="1"/>
    </row>
    <row r="29" spans="1:9" x14ac:dyDescent="0.25">
      <c r="A29" s="1"/>
      <c r="B29" s="32"/>
      <c r="C29" s="33"/>
      <c r="D29" s="33"/>
      <c r="E29" s="33"/>
      <c r="F29" s="33"/>
      <c r="G29" s="70"/>
      <c r="H29" s="20"/>
      <c r="I29" s="1"/>
    </row>
    <row r="30" spans="1:9" x14ac:dyDescent="0.25">
      <c r="A30" s="1"/>
      <c r="B30" s="1"/>
      <c r="C30" s="1"/>
      <c r="D30" s="1"/>
      <c r="E30" s="1"/>
      <c r="F30" s="1"/>
      <c r="G30" s="71"/>
      <c r="H30" s="1"/>
      <c r="I30" s="1"/>
    </row>
    <row r="31" spans="1:9" x14ac:dyDescent="0.25">
      <c r="A31" s="1"/>
      <c r="B31" s="152" t="s">
        <v>52</v>
      </c>
      <c r="C31" s="153"/>
      <c r="D31" s="153"/>
      <c r="E31" s="153"/>
      <c r="F31" s="153"/>
      <c r="G31" s="154"/>
      <c r="H31" s="155"/>
      <c r="I31" s="1"/>
    </row>
    <row r="32" spans="1:9" x14ac:dyDescent="0.25">
      <c r="A32" s="1"/>
      <c r="B32" s="146" t="s">
        <v>53</v>
      </c>
      <c r="C32" s="147"/>
      <c r="D32" s="147"/>
      <c r="E32" s="147"/>
      <c r="F32" s="148"/>
      <c r="G32" s="69">
        <f>(G25-G26)*(1-'Fane 15. Nøgletal'!C31)*(1+'Fane 15. Nøgletal'!C10)+G26*(1-'Fane 15. Nøgletal'!C31)*(1+'Fane 15. Nøgletal'!C11)+G27*(1-'Fane 15. Nøgletal'!C31)*(1+'Fane 15. Nøgletal'!C12)</f>
        <v>20511092.929037794</v>
      </c>
      <c r="H32" s="14" t="s">
        <v>3</v>
      </c>
      <c r="I32" s="1"/>
    </row>
    <row r="33" spans="1:9" x14ac:dyDescent="0.25">
      <c r="A33" s="1"/>
      <c r="B33" s="149" t="s">
        <v>160</v>
      </c>
      <c r="C33" s="156"/>
      <c r="D33" s="156"/>
      <c r="E33" s="156"/>
      <c r="F33" s="157"/>
      <c r="G33" s="69">
        <f>G26*(1-'Fane 15. Nøgletal'!C31)*(1+'Fane 15. Nøgletal'!C11)</f>
        <v>0</v>
      </c>
      <c r="H33" s="14" t="s">
        <v>3</v>
      </c>
      <c r="I33" s="1"/>
    </row>
    <row r="34" spans="1:9" x14ac:dyDescent="0.25">
      <c r="A34" s="1"/>
      <c r="B34" s="149" t="s">
        <v>107</v>
      </c>
      <c r="C34" s="156"/>
      <c r="D34" s="156"/>
      <c r="E34" s="156"/>
      <c r="F34" s="157"/>
      <c r="G34" s="69">
        <f>G27*(1-'Fane 15. Nøgletal'!C31)*(1+'Fane 15. Nøgletal'!C12)</f>
        <v>75714.696050811777</v>
      </c>
      <c r="H34" s="14" t="s">
        <v>3</v>
      </c>
      <c r="I34" s="1"/>
    </row>
    <row r="35" spans="1:9" x14ac:dyDescent="0.25">
      <c r="A35" s="1"/>
      <c r="B35" s="146" t="s">
        <v>123</v>
      </c>
      <c r="C35" s="147"/>
      <c r="D35" s="147"/>
      <c r="E35" s="147"/>
      <c r="F35" s="148"/>
      <c r="G35" s="69">
        <v>123016.55466995999</v>
      </c>
      <c r="H35" s="14" t="s">
        <v>3</v>
      </c>
      <c r="I35" s="1"/>
    </row>
    <row r="36" spans="1:9" x14ac:dyDescent="0.25">
      <c r="A36" s="1"/>
      <c r="B36" s="146" t="s">
        <v>54</v>
      </c>
      <c r="C36" s="147"/>
      <c r="D36" s="147"/>
      <c r="E36" s="147"/>
      <c r="F36" s="148"/>
      <c r="G36" s="69">
        <f>SUM(G32,G35)*'Fane 15. Nøgletal'!C31</f>
        <v>412682.18967415515</v>
      </c>
      <c r="H36" s="14" t="s">
        <v>3</v>
      </c>
      <c r="I36" s="1"/>
    </row>
    <row r="37" spans="1:9" x14ac:dyDescent="0.25">
      <c r="A37" s="1"/>
      <c r="B37" s="32"/>
      <c r="C37" s="33"/>
      <c r="D37" s="33"/>
      <c r="E37" s="33"/>
      <c r="F37" s="33"/>
      <c r="G37" s="70"/>
      <c r="H37" s="20"/>
      <c r="I37" s="1"/>
    </row>
    <row r="38" spans="1:9" x14ac:dyDescent="0.25">
      <c r="A38" s="1"/>
      <c r="B38" s="1"/>
      <c r="C38" s="1"/>
      <c r="D38" s="1"/>
      <c r="E38" s="1"/>
      <c r="F38" s="1"/>
      <c r="G38" s="71"/>
      <c r="H38" s="1"/>
      <c r="I38" s="1"/>
    </row>
    <row r="39" spans="1:9" x14ac:dyDescent="0.25">
      <c r="A39" s="1"/>
      <c r="B39" s="152" t="s">
        <v>139</v>
      </c>
      <c r="C39" s="153"/>
      <c r="D39" s="153"/>
      <c r="E39" s="153"/>
      <c r="F39" s="153"/>
      <c r="G39" s="154"/>
      <c r="H39" s="155"/>
      <c r="I39" s="1"/>
    </row>
    <row r="40" spans="1:9" x14ac:dyDescent="0.25">
      <c r="A40" s="1"/>
      <c r="B40" s="146" t="s">
        <v>166</v>
      </c>
      <c r="C40" s="147"/>
      <c r="D40" s="147"/>
      <c r="E40" s="147"/>
      <c r="F40" s="148"/>
      <c r="G40" s="69">
        <f>(SUM(G32,G35)-G36)*(1+'Fane 15. Nøgletal'!C14)</f>
        <v>20288158.004103914</v>
      </c>
      <c r="H40" s="14" t="s">
        <v>3</v>
      </c>
      <c r="I40" s="1"/>
    </row>
    <row r="41" spans="1:9" x14ac:dyDescent="0.25">
      <c r="A41" s="1"/>
      <c r="B41" s="146" t="s">
        <v>165</v>
      </c>
      <c r="C41" s="147"/>
      <c r="D41" s="147"/>
      <c r="E41" s="147"/>
      <c r="F41" s="148"/>
      <c r="G41" s="72">
        <v>216922.63357322005</v>
      </c>
      <c r="H41" s="14" t="s">
        <v>3</v>
      </c>
      <c r="I41" s="1"/>
    </row>
    <row r="42" spans="1:9" x14ac:dyDescent="0.25">
      <c r="A42" s="1"/>
      <c r="B42" s="146" t="s">
        <v>164</v>
      </c>
      <c r="C42" s="147"/>
      <c r="D42" s="147"/>
      <c r="E42" s="147"/>
      <c r="F42" s="148"/>
      <c r="G42" s="69">
        <f>(G40+G41)*'Fane 15. Nøgletal'!C31</f>
        <v>410101.61275354266</v>
      </c>
      <c r="H42" s="14" t="s">
        <v>3</v>
      </c>
      <c r="I42" s="1"/>
    </row>
    <row r="43" spans="1:9" x14ac:dyDescent="0.25">
      <c r="A43" s="1"/>
      <c r="B43" s="32"/>
      <c r="C43" s="33"/>
      <c r="D43" s="33"/>
      <c r="E43" s="33"/>
      <c r="F43" s="33"/>
      <c r="G43" s="70"/>
      <c r="H43" s="20"/>
      <c r="I43" s="1"/>
    </row>
    <row r="44" spans="1:9" x14ac:dyDescent="0.25">
      <c r="A44" s="1"/>
      <c r="B44" s="1"/>
      <c r="C44" s="1"/>
      <c r="D44" s="1"/>
      <c r="E44" s="1"/>
      <c r="F44" s="1"/>
      <c r="G44" s="71"/>
      <c r="H44" s="1"/>
      <c r="I44" s="1"/>
    </row>
    <row r="45" spans="1:9" x14ac:dyDescent="0.25">
      <c r="A45" s="1"/>
      <c r="B45" s="152" t="s">
        <v>151</v>
      </c>
      <c r="C45" s="153"/>
      <c r="D45" s="153"/>
      <c r="E45" s="153"/>
      <c r="F45" s="153"/>
      <c r="G45" s="154"/>
      <c r="H45" s="155"/>
      <c r="I45" s="1"/>
    </row>
    <row r="46" spans="1:9" x14ac:dyDescent="0.25">
      <c r="A46" s="1"/>
      <c r="B46" s="146" t="s">
        <v>175</v>
      </c>
      <c r="C46" s="147"/>
      <c r="D46" s="147"/>
      <c r="E46" s="147"/>
      <c r="F46" s="148"/>
      <c r="G46" s="69">
        <f>(G40+G41-G42)*(1+'Fane 15. Nøgletal'!C14)</f>
        <v>20161292.45570584</v>
      </c>
      <c r="H46" s="14" t="s">
        <v>3</v>
      </c>
      <c r="I46" s="1"/>
    </row>
    <row r="47" spans="1:9" x14ac:dyDescent="0.25">
      <c r="A47" s="1"/>
      <c r="B47" s="149" t="s">
        <v>237</v>
      </c>
      <c r="C47" s="150"/>
      <c r="D47" s="150"/>
      <c r="E47" s="150"/>
      <c r="F47" s="151"/>
      <c r="G47" s="72">
        <f>('Fane 2.1. Økonomisk ramme 2023'!C12+'Fane 2.1. Økonomisk ramme 2023'!C14+'Fane 2.1. Økonomisk ramme 2023'!C16)*(1+'Fane 15. Nøgletal'!C15)</f>
        <v>252007.30778544003</v>
      </c>
      <c r="H47" s="14" t="s">
        <v>3</v>
      </c>
      <c r="I47" s="1"/>
    </row>
    <row r="48" spans="1:9" x14ac:dyDescent="0.25">
      <c r="A48" s="1"/>
      <c r="B48" s="146" t="s">
        <v>176</v>
      </c>
      <c r="C48" s="147"/>
      <c r="D48" s="147"/>
      <c r="E48" s="147"/>
      <c r="F48" s="148"/>
      <c r="G48" s="69">
        <f>G46*'Fane 15. Nøgletal'!C31+'Fane 4.1. Gen. krav - drift'!G47*'Fane 15. Nøgletal'!C31</f>
        <v>408265.99526982562</v>
      </c>
      <c r="H48" s="14" t="s">
        <v>3</v>
      </c>
      <c r="I48" s="1"/>
    </row>
    <row r="49" spans="1:9" x14ac:dyDescent="0.25">
      <c r="A49" s="1"/>
      <c r="B49" s="32"/>
      <c r="C49" s="33"/>
      <c r="D49" s="33"/>
      <c r="E49" s="33"/>
      <c r="F49" s="33"/>
      <c r="G49" s="70"/>
      <c r="H49" s="20"/>
      <c r="I49" s="1"/>
    </row>
    <row r="50" spans="1:9" x14ac:dyDescent="0.25">
      <c r="A50" s="1"/>
      <c r="B50" s="31"/>
      <c r="C50" s="31"/>
      <c r="D50" s="31"/>
      <c r="E50" s="31"/>
      <c r="F50" s="31"/>
      <c r="G50" s="73"/>
      <c r="H50" s="31"/>
      <c r="I50" s="1"/>
    </row>
    <row r="51" spans="1:9" x14ac:dyDescent="0.25">
      <c r="A51" s="1"/>
      <c r="B51" s="31"/>
      <c r="C51" s="31"/>
      <c r="D51" s="31"/>
      <c r="E51" s="31"/>
      <c r="F51" s="31"/>
      <c r="G51" s="73"/>
      <c r="H51" s="31"/>
      <c r="I51" s="1"/>
    </row>
    <row r="52" spans="1:9" x14ac:dyDescent="0.25">
      <c r="A52" s="1"/>
      <c r="B52" s="152" t="s">
        <v>124</v>
      </c>
      <c r="C52" s="153"/>
      <c r="D52" s="153"/>
      <c r="E52" s="153"/>
      <c r="F52" s="153"/>
      <c r="G52" s="154"/>
      <c r="H52" s="155"/>
      <c r="I52" s="1"/>
    </row>
    <row r="53" spans="1:9" x14ac:dyDescent="0.25">
      <c r="A53" s="1"/>
      <c r="B53" s="146" t="s">
        <v>125</v>
      </c>
      <c r="C53" s="147"/>
      <c r="D53" s="147"/>
      <c r="E53" s="147"/>
      <c r="F53" s="148"/>
      <c r="G53" s="69">
        <f>(G46+G47-G48)*(1+'Fane 15. Nøgletal'!C15)</f>
        <v>20717212.970370144</v>
      </c>
      <c r="H53" s="14" t="s">
        <v>3</v>
      </c>
      <c r="I53" s="1"/>
    </row>
    <row r="54" spans="1:9" x14ac:dyDescent="0.25">
      <c r="A54" s="1"/>
      <c r="B54" s="146" t="s">
        <v>126</v>
      </c>
      <c r="C54" s="147"/>
      <c r="D54" s="147"/>
      <c r="E54" s="147"/>
      <c r="F54" s="148"/>
      <c r="G54" s="69">
        <f>(G53)*'Fane 15. Nøgletal'!C31</f>
        <v>414344.25940740289</v>
      </c>
      <c r="H54" s="14" t="s">
        <v>3</v>
      </c>
      <c r="I54" s="1"/>
    </row>
    <row r="55" spans="1:9" x14ac:dyDescent="0.25">
      <c r="A55" s="1"/>
      <c r="B55" s="32"/>
      <c r="C55" s="33"/>
      <c r="D55" s="33"/>
      <c r="E55" s="33"/>
      <c r="F55" s="33"/>
      <c r="G55" s="70"/>
      <c r="H55" s="20"/>
      <c r="I55" s="1"/>
    </row>
    <row r="56" spans="1:9" x14ac:dyDescent="0.25">
      <c r="A56" s="1"/>
      <c r="B56" s="1"/>
      <c r="C56" s="1"/>
      <c r="D56" s="1"/>
      <c r="E56" s="1"/>
      <c r="F56" s="1"/>
      <c r="G56" s="71"/>
      <c r="H56" s="1"/>
      <c r="I56" s="1"/>
    </row>
    <row r="57" spans="1:9" x14ac:dyDescent="0.25">
      <c r="A57" s="1"/>
      <c r="B57" s="88" t="s">
        <v>152</v>
      </c>
      <c r="C57" s="89"/>
      <c r="D57" s="89"/>
      <c r="E57" s="89"/>
      <c r="F57" s="89"/>
      <c r="G57" s="74"/>
      <c r="H57" s="90"/>
      <c r="I57" s="1"/>
    </row>
    <row r="58" spans="1:9" x14ac:dyDescent="0.25">
      <c r="A58" s="1"/>
      <c r="B58" s="85" t="s">
        <v>161</v>
      </c>
      <c r="C58" s="86"/>
      <c r="D58" s="86"/>
      <c r="E58" s="86"/>
      <c r="F58" s="87"/>
      <c r="G58" s="69">
        <f>(G53-G54)*(1+'Fane 15. Nøgletal'!C15)</f>
        <v>21025650.837073017</v>
      </c>
      <c r="H58" s="14" t="s">
        <v>3</v>
      </c>
      <c r="I58" s="1"/>
    </row>
    <row r="59" spans="1:9" x14ac:dyDescent="0.25">
      <c r="A59" s="1"/>
      <c r="B59" s="85" t="s">
        <v>162</v>
      </c>
      <c r="C59" s="86"/>
      <c r="D59" s="86"/>
      <c r="E59" s="86"/>
      <c r="F59" s="87"/>
      <c r="G59" s="69">
        <f>(G58)*'Fane 15. Nøgletal'!C31</f>
        <v>420513.01674146036</v>
      </c>
      <c r="H59" s="14" t="s">
        <v>3</v>
      </c>
      <c r="I59" s="1"/>
    </row>
    <row r="60" spans="1:9" x14ac:dyDescent="0.25">
      <c r="A60" s="1"/>
      <c r="B60" s="32"/>
      <c r="C60" s="33"/>
      <c r="D60" s="33"/>
      <c r="E60" s="33"/>
      <c r="F60" s="33"/>
      <c r="G60" s="70"/>
      <c r="H60" s="20"/>
      <c r="I60" s="1"/>
    </row>
    <row r="61" spans="1:9" x14ac:dyDescent="0.25">
      <c r="A61" s="1"/>
      <c r="B61" s="1"/>
      <c r="C61" s="1"/>
      <c r="D61" s="1"/>
      <c r="E61" s="1"/>
      <c r="F61" s="1"/>
      <c r="G61" s="71"/>
      <c r="H61" s="1"/>
      <c r="I61" s="1"/>
    </row>
    <row r="62" spans="1:9" x14ac:dyDescent="0.25">
      <c r="A62" s="1"/>
      <c r="B62" s="88" t="s">
        <v>203</v>
      </c>
      <c r="C62" s="89"/>
      <c r="D62" s="89"/>
      <c r="E62" s="89"/>
      <c r="F62" s="89"/>
      <c r="G62" s="74"/>
      <c r="H62" s="90"/>
      <c r="I62" s="1"/>
    </row>
    <row r="63" spans="1:9" x14ac:dyDescent="0.25">
      <c r="A63" s="1"/>
      <c r="B63" s="85" t="s">
        <v>204</v>
      </c>
      <c r="C63" s="86"/>
      <c r="D63" s="86"/>
      <c r="E63" s="86"/>
      <c r="F63" s="87"/>
      <c r="G63" s="69">
        <f>(G58-G59)*(1+'Fane 15. Nøgletal'!C15)</f>
        <v>21338680.726735361</v>
      </c>
      <c r="H63" s="14" t="s">
        <v>3</v>
      </c>
      <c r="I63" s="1"/>
    </row>
    <row r="64" spans="1:9" x14ac:dyDescent="0.25">
      <c r="A64" s="1"/>
      <c r="B64" s="85" t="s">
        <v>205</v>
      </c>
      <c r="C64" s="86"/>
      <c r="D64" s="86"/>
      <c r="E64" s="86"/>
      <c r="F64" s="87"/>
      <c r="G64" s="69">
        <f>(G63)*'Fane 15. Nøgletal'!C31</f>
        <v>426773.61453470722</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MVjqATYhp+kJ8Cjuigw/JJ9Yyyg7oSJt+qEZPBOffcXig5JRL6kFCeKPYKKs/TtV+Cfle+pkghJN7rRnWPZatQ==" saltValue="pQRMUt9/bPEPFWGiJa88xA=="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66"/>
  <sheetViews>
    <sheetView showGridLines="0" view="pageLayout" topLeftCell="A10" zoomScale="87" zoomScaleNormal="100" zoomScalePageLayoutView="87" workbookViewId="0">
      <selection activeCell="G40" sqref="G40"/>
    </sheetView>
  </sheetViews>
  <sheetFormatPr defaultColWidth="9" defaultRowHeight="15" x14ac:dyDescent="0.25"/>
  <cols>
    <col min="1" max="1" width="3.140625" style="2" customWidth="1"/>
    <col min="2" max="5" width="9" style="2"/>
    <col min="6" max="6" width="19.140625" style="2" customWidth="1"/>
    <col min="7" max="7" width="13.7109375" style="2" customWidth="1"/>
    <col min="8" max="8" width="3.8554687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9" t="s">
        <v>98</v>
      </c>
      <c r="C2" s="159"/>
      <c r="D2" s="159"/>
      <c r="E2" s="159"/>
      <c r="F2" s="159"/>
      <c r="G2" s="159"/>
      <c r="H2" s="159"/>
      <c r="I2" s="1"/>
    </row>
    <row r="3" spans="1:9" ht="28.5" customHeight="1" x14ac:dyDescent="0.25">
      <c r="A3" s="1"/>
      <c r="B3" s="159"/>
      <c r="C3" s="159"/>
      <c r="D3" s="159"/>
      <c r="E3" s="159"/>
      <c r="F3" s="159"/>
      <c r="G3" s="159"/>
      <c r="H3" s="159"/>
      <c r="I3" s="1"/>
    </row>
    <row r="4" spans="1:9" ht="18.75" x14ac:dyDescent="0.3">
      <c r="A4" s="1"/>
      <c r="B4" s="27"/>
      <c r="C4" s="27"/>
      <c r="D4" s="27"/>
      <c r="E4" s="27"/>
      <c r="F4" s="27"/>
      <c r="G4" s="27"/>
      <c r="H4" s="27"/>
      <c r="I4" s="1"/>
    </row>
    <row r="5" spans="1:9" x14ac:dyDescent="0.25">
      <c r="A5" s="1"/>
      <c r="B5" s="152" t="s">
        <v>167</v>
      </c>
      <c r="C5" s="153"/>
      <c r="D5" s="153"/>
      <c r="E5" s="153"/>
      <c r="F5" s="153"/>
      <c r="G5" s="153"/>
      <c r="H5" s="155"/>
      <c r="I5" s="1"/>
    </row>
    <row r="6" spans="1:9" x14ac:dyDescent="0.25">
      <c r="A6" s="1"/>
      <c r="B6" s="146" t="s">
        <v>168</v>
      </c>
      <c r="C6" s="147"/>
      <c r="D6" s="147"/>
      <c r="E6" s="147"/>
      <c r="F6" s="148"/>
      <c r="G6" s="69">
        <v>30649542.231383901</v>
      </c>
      <c r="H6" s="14" t="s">
        <v>3</v>
      </c>
      <c r="I6" s="1"/>
    </row>
    <row r="7" spans="1:9" x14ac:dyDescent="0.25">
      <c r="A7" s="1"/>
      <c r="B7" s="146" t="s">
        <v>163</v>
      </c>
      <c r="C7" s="147"/>
      <c r="D7" s="147"/>
      <c r="E7" s="147"/>
      <c r="F7" s="148"/>
      <c r="G7" s="69">
        <f>G6*'Fane 15. Nøgletal'!C20</f>
        <v>278910.83430559351</v>
      </c>
      <c r="H7" s="14" t="s">
        <v>3</v>
      </c>
      <c r="I7" s="1"/>
    </row>
    <row r="8" spans="1:9" x14ac:dyDescent="0.25">
      <c r="A8" s="1"/>
      <c r="B8" s="32"/>
      <c r="C8" s="33"/>
      <c r="D8" s="33"/>
      <c r="E8" s="33"/>
      <c r="F8" s="33"/>
      <c r="G8" s="66"/>
      <c r="H8" s="20"/>
      <c r="I8" s="1"/>
    </row>
    <row r="9" spans="1:9" x14ac:dyDescent="0.25">
      <c r="A9" s="1"/>
      <c r="B9" s="1"/>
      <c r="C9" s="1"/>
      <c r="D9" s="1"/>
      <c r="E9" s="1"/>
      <c r="F9" s="1"/>
      <c r="G9" s="75"/>
      <c r="H9" s="1"/>
      <c r="I9" s="1"/>
    </row>
    <row r="10" spans="1:9" x14ac:dyDescent="0.25">
      <c r="A10" s="1"/>
      <c r="B10" s="152" t="s">
        <v>55</v>
      </c>
      <c r="C10" s="153"/>
      <c r="D10" s="153"/>
      <c r="E10" s="153"/>
      <c r="F10" s="153"/>
      <c r="G10" s="154"/>
      <c r="H10" s="155"/>
      <c r="I10" s="1"/>
    </row>
    <row r="11" spans="1:9" x14ac:dyDescent="0.25">
      <c r="A11" s="1"/>
      <c r="B11" s="146" t="s">
        <v>169</v>
      </c>
      <c r="C11" s="147"/>
      <c r="D11" s="147"/>
      <c r="E11" s="147"/>
      <c r="F11" s="148"/>
      <c r="G11" s="69">
        <f>(G6-G7)*(1+'Fane 15. Nøgletal'!C10)</f>
        <v>30902117.446527183</v>
      </c>
      <c r="H11" s="14" t="s">
        <v>3</v>
      </c>
      <c r="I11" s="1"/>
    </row>
    <row r="12" spans="1:9" x14ac:dyDescent="0.25">
      <c r="A12" s="1"/>
      <c r="B12" s="146" t="s">
        <v>111</v>
      </c>
      <c r="C12" s="147"/>
      <c r="D12" s="147"/>
      <c r="E12" s="147"/>
      <c r="F12" s="148"/>
      <c r="G12" s="69">
        <v>1026689.2582445933</v>
      </c>
      <c r="H12" s="14" t="s">
        <v>3</v>
      </c>
      <c r="I12" s="1"/>
    </row>
    <row r="13" spans="1:9" x14ac:dyDescent="0.25">
      <c r="A13" s="1"/>
      <c r="B13" s="158" t="s">
        <v>170</v>
      </c>
      <c r="C13" s="156"/>
      <c r="D13" s="156"/>
      <c r="E13" s="156"/>
      <c r="F13" s="157"/>
      <c r="G13" s="69">
        <v>308619.61659375002</v>
      </c>
      <c r="H13" s="14" t="s">
        <v>3</v>
      </c>
      <c r="I13" s="1"/>
    </row>
    <row r="14" spans="1:9" x14ac:dyDescent="0.25">
      <c r="A14" s="1"/>
      <c r="B14" s="146" t="s">
        <v>56</v>
      </c>
      <c r="C14" s="147"/>
      <c r="D14" s="147"/>
      <c r="E14" s="147"/>
      <c r="F14" s="148"/>
      <c r="G14" s="69">
        <f>SUM(G11:G13)*'Fane 15. Nøgletal'!C21</f>
        <v>570602.44588816981</v>
      </c>
      <c r="H14" s="14" t="s">
        <v>3</v>
      </c>
      <c r="I14" s="1"/>
    </row>
    <row r="15" spans="1:9" x14ac:dyDescent="0.25">
      <c r="A15" s="1"/>
      <c r="B15" s="32"/>
      <c r="C15" s="33"/>
      <c r="D15" s="33"/>
      <c r="E15" s="33"/>
      <c r="F15" s="33"/>
      <c r="G15" s="66"/>
      <c r="H15" s="20"/>
      <c r="I15" s="1"/>
    </row>
    <row r="16" spans="1:9" x14ac:dyDescent="0.25">
      <c r="A16" s="1"/>
      <c r="B16" s="1"/>
      <c r="C16" s="1"/>
      <c r="D16" s="1"/>
      <c r="E16" s="1"/>
      <c r="F16" s="1"/>
      <c r="G16" s="75"/>
      <c r="H16" s="1"/>
      <c r="I16" s="1"/>
    </row>
    <row r="17" spans="1:9" x14ac:dyDescent="0.25">
      <c r="A17" s="1"/>
      <c r="B17" s="152" t="s">
        <v>57</v>
      </c>
      <c r="C17" s="153"/>
      <c r="D17" s="153"/>
      <c r="E17" s="153"/>
      <c r="F17" s="153"/>
      <c r="G17" s="154"/>
      <c r="H17" s="155"/>
      <c r="I17" s="1"/>
    </row>
    <row r="18" spans="1:9" x14ac:dyDescent="0.25">
      <c r="A18" s="1"/>
      <c r="B18" s="146" t="s">
        <v>58</v>
      </c>
      <c r="C18" s="147"/>
      <c r="D18" s="147"/>
      <c r="E18" s="147"/>
      <c r="F18" s="148"/>
      <c r="G18" s="69">
        <f>(G11+G12+G13-G14)*(1+'Fane 15. Nøgletal'!C10)</f>
        <v>32220993.293298211</v>
      </c>
      <c r="H18" s="14" t="s">
        <v>3</v>
      </c>
      <c r="I18" s="1"/>
    </row>
    <row r="19" spans="1:9" x14ac:dyDescent="0.25">
      <c r="A19" s="1"/>
      <c r="B19" s="158" t="s">
        <v>59</v>
      </c>
      <c r="C19" s="156"/>
      <c r="D19" s="156"/>
      <c r="E19" s="156"/>
      <c r="F19" s="157"/>
      <c r="G19" s="69">
        <v>271104.15620247996</v>
      </c>
      <c r="H19" s="14" t="s">
        <v>3</v>
      </c>
      <c r="I19" s="1"/>
    </row>
    <row r="20" spans="1:9" x14ac:dyDescent="0.25">
      <c r="A20" s="1"/>
      <c r="B20" s="146" t="s">
        <v>60</v>
      </c>
      <c r="C20" s="147"/>
      <c r="D20" s="147"/>
      <c r="E20" s="147"/>
      <c r="F20" s="148"/>
      <c r="G20" s="69">
        <f>G18*'Fane 15. Nøgletal'!C21+G19*'Fane 15. Nøgletal'!C22</f>
        <v>572670.1874503399</v>
      </c>
      <c r="H20" s="14" t="s">
        <v>3</v>
      </c>
      <c r="I20" s="1"/>
    </row>
    <row r="21" spans="1:9" x14ac:dyDescent="0.25">
      <c r="A21" s="1"/>
      <c r="B21" s="32"/>
      <c r="C21" s="33"/>
      <c r="D21" s="33"/>
      <c r="E21" s="33"/>
      <c r="F21" s="33"/>
      <c r="G21" s="66"/>
      <c r="H21" s="20"/>
      <c r="I21" s="1"/>
    </row>
    <row r="22" spans="1:9" x14ac:dyDescent="0.25">
      <c r="A22" s="1"/>
      <c r="B22" s="1"/>
      <c r="C22" s="1"/>
      <c r="D22" s="1"/>
      <c r="E22" s="1"/>
      <c r="F22" s="1"/>
      <c r="G22" s="75"/>
      <c r="H22" s="1"/>
      <c r="I22" s="1"/>
    </row>
    <row r="23" spans="1:9" x14ac:dyDescent="0.25">
      <c r="A23" s="1"/>
      <c r="B23" s="152" t="s">
        <v>150</v>
      </c>
      <c r="C23" s="153"/>
      <c r="D23" s="153"/>
      <c r="E23" s="153"/>
      <c r="F23" s="153"/>
      <c r="G23" s="154"/>
      <c r="H23" s="155"/>
      <c r="I23" s="1"/>
    </row>
    <row r="24" spans="1:9" x14ac:dyDescent="0.25">
      <c r="A24" s="1"/>
      <c r="B24" s="146" t="s">
        <v>61</v>
      </c>
      <c r="C24" s="147"/>
      <c r="D24" s="147"/>
      <c r="E24" s="147"/>
      <c r="F24" s="148"/>
      <c r="G24" s="69">
        <f>G18*(1-'Fane 15. Nøgletal'!C21)*(1+'Fane 15. Nøgletal'!C10)+G19*(1-'Fane 15. Nøgletal'!C22)*(1+'Fane 15. Nøgletal'!C11)</f>
        <v>32477855.991806205</v>
      </c>
      <c r="H24" s="14" t="s">
        <v>3</v>
      </c>
      <c r="I24" s="1"/>
    </row>
    <row r="25" spans="1:9" x14ac:dyDescent="0.25">
      <c r="A25" s="1"/>
      <c r="B25" s="149" t="s">
        <v>171</v>
      </c>
      <c r="C25" s="156"/>
      <c r="D25" s="156"/>
      <c r="E25" s="156"/>
      <c r="F25" s="157"/>
      <c r="G25" s="69">
        <f>G19*(1-'Fane 15. Nøgletal'!C22)*(1+'Fane 15. Nøgletal'!C11)</f>
        <v>273287.34983925382</v>
      </c>
      <c r="H25" s="14" t="s">
        <v>3</v>
      </c>
      <c r="I25" s="1"/>
    </row>
    <row r="26" spans="1:9" x14ac:dyDescent="0.25">
      <c r="A26" s="1"/>
      <c r="B26" s="158" t="s">
        <v>62</v>
      </c>
      <c r="C26" s="156"/>
      <c r="D26" s="156"/>
      <c r="E26" s="156"/>
      <c r="F26" s="157"/>
      <c r="G26" s="69">
        <v>367168.80577813921</v>
      </c>
      <c r="H26" s="14" t="s">
        <v>3</v>
      </c>
      <c r="I26" s="1"/>
    </row>
    <row r="27" spans="1:9" x14ac:dyDescent="0.25">
      <c r="A27" s="1"/>
      <c r="B27" s="146" t="s">
        <v>63</v>
      </c>
      <c r="C27" s="147"/>
      <c r="D27" s="147"/>
      <c r="E27" s="147"/>
      <c r="F27" s="148"/>
      <c r="G27" s="69">
        <f>(G24-G25)*'Fane 15. Nøgletal'!C22+G25*'Fane 15. Nøgletal'!C23+G26*'Fane 15. Nøgletal'!C24</f>
        <v>298038.25007944606</v>
      </c>
      <c r="H27" s="14" t="s">
        <v>3</v>
      </c>
      <c r="I27" s="1"/>
    </row>
    <row r="28" spans="1:9" x14ac:dyDescent="0.25">
      <c r="A28" s="1"/>
      <c r="B28" s="32"/>
      <c r="C28" s="33"/>
      <c r="D28" s="33"/>
      <c r="E28" s="33"/>
      <c r="F28" s="33"/>
      <c r="G28" s="66"/>
      <c r="H28" s="20"/>
      <c r="I28" s="1"/>
    </row>
    <row r="29" spans="1:9" x14ac:dyDescent="0.25">
      <c r="A29" s="1"/>
      <c r="B29" s="1"/>
      <c r="C29" s="1"/>
      <c r="D29" s="1"/>
      <c r="E29" s="1"/>
      <c r="F29" s="1"/>
      <c r="G29" s="75"/>
      <c r="H29" s="1"/>
      <c r="I29" s="1"/>
    </row>
    <row r="30" spans="1:9" x14ac:dyDescent="0.25">
      <c r="A30" s="1"/>
      <c r="B30" s="152" t="s">
        <v>64</v>
      </c>
      <c r="C30" s="153"/>
      <c r="D30" s="153"/>
      <c r="E30" s="153"/>
      <c r="F30" s="153"/>
      <c r="G30" s="154"/>
      <c r="H30" s="155"/>
      <c r="I30" s="1"/>
    </row>
    <row r="31" spans="1:9" x14ac:dyDescent="0.25">
      <c r="A31" s="1"/>
      <c r="B31" s="146" t="s">
        <v>65</v>
      </c>
      <c r="C31" s="147"/>
      <c r="D31" s="147"/>
      <c r="E31" s="147"/>
      <c r="F31" s="148"/>
      <c r="G31" s="69">
        <f>(G24-G25)*(1-'Fane 15. Nøgletal'!C21)*(1+'Fane 15. Nøgletal'!C10)+G25*(1-'Fane 15. Nøgletal'!C22)*(1+'Fane 15. Nøgletal'!C11)+G26*(1-'Fane 15. Nøgletal'!C23)*(1+'Fane 15. Nøgletal'!C12)</f>
        <v>32827409.50133501</v>
      </c>
      <c r="H31" s="14" t="s">
        <v>3</v>
      </c>
      <c r="I31" s="1"/>
    </row>
    <row r="32" spans="1:9" x14ac:dyDescent="0.25">
      <c r="A32" s="1"/>
      <c r="B32" s="149" t="s">
        <v>172</v>
      </c>
      <c r="C32" s="156"/>
      <c r="D32" s="156"/>
      <c r="E32" s="156"/>
      <c r="F32" s="157"/>
      <c r="G32" s="69">
        <f>G25*(1-'Fane 15. Nøgletal'!C22)*(1+'Fane 15. Nøgletal'!C11)</f>
        <v>275488.12466888881</v>
      </c>
      <c r="H32" s="14" t="s">
        <v>3</v>
      </c>
      <c r="I32" s="1"/>
    </row>
    <row r="33" spans="1:9" x14ac:dyDescent="0.25">
      <c r="A33" s="1"/>
      <c r="B33" s="149" t="s">
        <v>106</v>
      </c>
      <c r="C33" s="156"/>
      <c r="D33" s="156"/>
      <c r="E33" s="156"/>
      <c r="F33" s="157"/>
      <c r="G33" s="69">
        <f>G26*(1-'Fane 15. Nøgletal'!C23)*(1+'Fane 15. Nøgletal'!C12)</f>
        <v>363769.01356441266</v>
      </c>
      <c r="H33" s="14" t="s">
        <v>3</v>
      </c>
      <c r="I33" s="1"/>
    </row>
    <row r="34" spans="1:9" x14ac:dyDescent="0.25">
      <c r="A34" s="1"/>
      <c r="B34" s="146" t="s">
        <v>127</v>
      </c>
      <c r="C34" s="147"/>
      <c r="D34" s="147"/>
      <c r="E34" s="147"/>
      <c r="F34" s="148"/>
      <c r="G34" s="69">
        <v>711849.36219011992</v>
      </c>
      <c r="H34" s="14" t="s">
        <v>3</v>
      </c>
      <c r="I34" s="1"/>
    </row>
    <row r="35" spans="1:9" x14ac:dyDescent="0.25">
      <c r="A35" s="1"/>
      <c r="B35" s="146" t="s">
        <v>66</v>
      </c>
      <c r="C35" s="147"/>
      <c r="D35" s="147"/>
      <c r="E35" s="147"/>
      <c r="F35" s="148"/>
      <c r="G35" s="69">
        <f>(G31-SUM(G32:G33))*'Fane 15. Nøgletal'!C21+G32*'Fane 15. Nøgletal'!C22+G33*'Fane 15. Nøgletal'!C23+G34*'Fane 15. Nøgletal'!C24</f>
        <v>602033.9409569772</v>
      </c>
      <c r="H35" s="14" t="s">
        <v>3</v>
      </c>
      <c r="I35" s="1"/>
    </row>
    <row r="36" spans="1:9" x14ac:dyDescent="0.25">
      <c r="A36" s="1"/>
      <c r="B36" s="32"/>
      <c r="C36" s="33"/>
      <c r="D36" s="33"/>
      <c r="E36" s="33"/>
      <c r="F36" s="33"/>
      <c r="G36" s="66"/>
      <c r="H36" s="20"/>
      <c r="I36" s="1"/>
    </row>
    <row r="37" spans="1:9" x14ac:dyDescent="0.25">
      <c r="A37" s="1"/>
      <c r="B37" s="1"/>
      <c r="C37" s="1"/>
      <c r="D37" s="1"/>
      <c r="E37" s="1"/>
      <c r="F37" s="1"/>
      <c r="G37" s="75"/>
      <c r="H37" s="1"/>
      <c r="I37" s="1"/>
    </row>
    <row r="38" spans="1:9" x14ac:dyDescent="0.25">
      <c r="A38" s="1"/>
      <c r="B38" s="152" t="s">
        <v>140</v>
      </c>
      <c r="C38" s="153"/>
      <c r="D38" s="153"/>
      <c r="E38" s="153"/>
      <c r="F38" s="153"/>
      <c r="G38" s="154"/>
      <c r="H38" s="155"/>
      <c r="I38" s="1"/>
    </row>
    <row r="39" spans="1:9" x14ac:dyDescent="0.25">
      <c r="A39" s="1"/>
      <c r="B39" s="146" t="s">
        <v>173</v>
      </c>
      <c r="C39" s="147"/>
      <c r="D39" s="147"/>
      <c r="E39" s="147"/>
      <c r="F39" s="148"/>
      <c r="G39" s="69">
        <f>(SUM(G31,G34)-G35)*(1+'Fane 15. Nøgletal'!C14)</f>
        <v>33045917.76481263</v>
      </c>
      <c r="H39" s="14" t="s">
        <v>3</v>
      </c>
      <c r="I39" s="1"/>
    </row>
    <row r="40" spans="1:9" x14ac:dyDescent="0.25">
      <c r="A40" s="1"/>
      <c r="B40" s="146" t="s">
        <v>141</v>
      </c>
      <c r="C40" s="147"/>
      <c r="D40" s="147"/>
      <c r="E40" s="147"/>
      <c r="F40" s="148"/>
      <c r="G40" s="69">
        <v>59564.941152137508</v>
      </c>
      <c r="H40" s="14" t="s">
        <v>3</v>
      </c>
      <c r="I40" s="1"/>
    </row>
    <row r="41" spans="1:9" x14ac:dyDescent="0.25">
      <c r="A41" s="1"/>
      <c r="B41" s="146" t="s">
        <v>142</v>
      </c>
      <c r="C41" s="147"/>
      <c r="D41" s="147"/>
      <c r="E41" s="147"/>
      <c r="F41" s="148"/>
      <c r="G41" s="69">
        <f>(G39+G40)*'Fane 15. Nøgletal'!C25</f>
        <v>489961.14404827857</v>
      </c>
      <c r="H41" s="14" t="s">
        <v>3</v>
      </c>
      <c r="I41" s="1"/>
    </row>
    <row r="42" spans="1:9" x14ac:dyDescent="0.25">
      <c r="A42" s="1"/>
      <c r="B42" s="32"/>
      <c r="C42" s="33"/>
      <c r="D42" s="33"/>
      <c r="E42" s="33"/>
      <c r="F42" s="33"/>
      <c r="G42" s="66"/>
      <c r="H42" s="20"/>
      <c r="I42" s="1"/>
    </row>
    <row r="43" spans="1:9" x14ac:dyDescent="0.25">
      <c r="A43" s="1"/>
      <c r="B43" s="1"/>
      <c r="C43" s="1"/>
      <c r="D43" s="1"/>
      <c r="E43" s="1"/>
      <c r="F43" s="1"/>
      <c r="G43" s="75"/>
      <c r="H43" s="1"/>
      <c r="I43" s="1"/>
    </row>
    <row r="44" spans="1:9" x14ac:dyDescent="0.25">
      <c r="A44" s="1"/>
      <c r="B44" s="152" t="s">
        <v>238</v>
      </c>
      <c r="C44" s="153"/>
      <c r="D44" s="153"/>
      <c r="E44" s="153"/>
      <c r="F44" s="153"/>
      <c r="G44" s="154"/>
      <c r="H44" s="155"/>
      <c r="I44" s="1"/>
    </row>
    <row r="45" spans="1:9" x14ac:dyDescent="0.25">
      <c r="A45" s="1"/>
      <c r="B45" s="146" t="s">
        <v>67</v>
      </c>
      <c r="C45" s="147"/>
      <c r="D45" s="147"/>
      <c r="E45" s="147"/>
      <c r="F45" s="148"/>
      <c r="G45" s="69">
        <f>(G39+G40-G41)*(1+'Fane 15. Nøgletal'!C14)</f>
        <v>32723152.783070818</v>
      </c>
      <c r="H45" s="14" t="s">
        <v>3</v>
      </c>
      <c r="I45" s="1"/>
    </row>
    <row r="46" spans="1:9" x14ac:dyDescent="0.25">
      <c r="A46" s="1"/>
      <c r="B46" s="149" t="s">
        <v>242</v>
      </c>
      <c r="C46" s="150"/>
      <c r="D46" s="150"/>
      <c r="E46" s="150"/>
      <c r="F46" s="151"/>
      <c r="G46" s="72">
        <f>(SUM('Fane 2.1. Økonomisk ramme 2023'!C13,'Fane 2.1. Økonomisk ramme 2023'!C15,'Fane 2.1. Økonomisk ramme 2023'!C17))*(1+'Fane 15. Nøgletal'!C15)</f>
        <v>49736.62823551536</v>
      </c>
      <c r="H46" s="14" t="s">
        <v>3</v>
      </c>
      <c r="I46" s="1"/>
    </row>
    <row r="47" spans="1:9" x14ac:dyDescent="0.25">
      <c r="A47" s="1"/>
      <c r="B47" s="146" t="s">
        <v>177</v>
      </c>
      <c r="C47" s="147"/>
      <c r="D47" s="147"/>
      <c r="E47" s="147"/>
      <c r="F47" s="148"/>
      <c r="G47" s="69">
        <f>G45*'Fane 15. Nøgletal'!C25+G46*'Fane 15. Nøgletal'!C26</f>
        <v>484302.66118944815</v>
      </c>
      <c r="H47" s="14" t="s">
        <v>3</v>
      </c>
      <c r="I47" s="1"/>
    </row>
    <row r="48" spans="1:9" x14ac:dyDescent="0.25">
      <c r="A48" s="1"/>
      <c r="B48" s="32"/>
      <c r="C48" s="33"/>
      <c r="D48" s="33"/>
      <c r="E48" s="33"/>
      <c r="F48" s="33"/>
      <c r="G48" s="66"/>
      <c r="H48" s="20"/>
      <c r="I48" s="1"/>
    </row>
    <row r="49" spans="1:9" x14ac:dyDescent="0.25">
      <c r="A49" s="1"/>
      <c r="B49" s="1"/>
      <c r="C49" s="1"/>
      <c r="D49" s="1"/>
      <c r="E49" s="1"/>
      <c r="F49" s="1"/>
      <c r="G49" s="75"/>
      <c r="H49" s="1"/>
      <c r="I49" s="1"/>
    </row>
    <row r="50" spans="1:9" x14ac:dyDescent="0.25">
      <c r="A50" s="1"/>
      <c r="B50" s="152" t="s">
        <v>128</v>
      </c>
      <c r="C50" s="153"/>
      <c r="D50" s="153"/>
      <c r="E50" s="153"/>
      <c r="F50" s="153"/>
      <c r="G50" s="154"/>
      <c r="H50" s="155"/>
      <c r="I50" s="1"/>
    </row>
    <row r="51" spans="1:9" x14ac:dyDescent="0.25">
      <c r="A51" s="1"/>
      <c r="B51" s="146" t="s">
        <v>129</v>
      </c>
      <c r="C51" s="147"/>
      <c r="D51" s="147"/>
      <c r="E51" s="147"/>
      <c r="F51" s="148"/>
      <c r="G51" s="69">
        <f>(G45+G46-G47)*(1+'Fane 15. Nøgletal'!C15)</f>
        <v>33438060.438421048</v>
      </c>
      <c r="H51" s="14" t="s">
        <v>3</v>
      </c>
      <c r="I51" s="1"/>
    </row>
    <row r="52" spans="1:9" x14ac:dyDescent="0.25">
      <c r="A52" s="1"/>
      <c r="B52" s="146" t="s">
        <v>130</v>
      </c>
      <c r="C52" s="147"/>
      <c r="D52" s="147"/>
      <c r="E52" s="147"/>
      <c r="F52" s="148"/>
      <c r="G52" s="69">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5"/>
      <c r="H54" s="1"/>
      <c r="I54" s="1"/>
    </row>
    <row r="55" spans="1:9" x14ac:dyDescent="0.25">
      <c r="A55" s="1"/>
      <c r="B55" s="152" t="s">
        <v>153</v>
      </c>
      <c r="C55" s="153"/>
      <c r="D55" s="153"/>
      <c r="E55" s="153"/>
      <c r="F55" s="153"/>
      <c r="G55" s="154"/>
      <c r="H55" s="155"/>
      <c r="I55" s="1"/>
    </row>
    <row r="56" spans="1:9" x14ac:dyDescent="0.25">
      <c r="A56" s="1"/>
      <c r="B56" s="146" t="s">
        <v>129</v>
      </c>
      <c r="C56" s="147"/>
      <c r="D56" s="147"/>
      <c r="E56" s="147"/>
      <c r="F56" s="148"/>
      <c r="G56" s="69">
        <f>(G51-G52)*(1+'Fane 15. Nøgletal'!C15)</f>
        <v>34628455.390028842</v>
      </c>
      <c r="H56" s="14" t="s">
        <v>3</v>
      </c>
      <c r="I56" s="1"/>
    </row>
    <row r="57" spans="1:9" x14ac:dyDescent="0.25">
      <c r="A57" s="1"/>
      <c r="B57" s="146" t="s">
        <v>174</v>
      </c>
      <c r="C57" s="147"/>
      <c r="D57" s="147"/>
      <c r="E57" s="147"/>
      <c r="F57" s="148"/>
      <c r="G57" s="69">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5"/>
      <c r="H59" s="1"/>
      <c r="I59" s="1"/>
    </row>
    <row r="60" spans="1:9" x14ac:dyDescent="0.25">
      <c r="A60" s="1"/>
      <c r="B60" s="152" t="s">
        <v>206</v>
      </c>
      <c r="C60" s="153"/>
      <c r="D60" s="153"/>
      <c r="E60" s="153"/>
      <c r="F60" s="153"/>
      <c r="G60" s="154"/>
      <c r="H60" s="155"/>
      <c r="I60" s="1"/>
    </row>
    <row r="61" spans="1:9" x14ac:dyDescent="0.25">
      <c r="A61" s="1"/>
      <c r="B61" s="146" t="s">
        <v>207</v>
      </c>
      <c r="C61" s="147"/>
      <c r="D61" s="147"/>
      <c r="E61" s="147"/>
      <c r="F61" s="148"/>
      <c r="G61" s="69">
        <f>(G56-G57)*(1+'Fane 15. Nøgletal'!C15)</f>
        <v>35861228.401913874</v>
      </c>
      <c r="H61" s="14" t="s">
        <v>3</v>
      </c>
      <c r="I61" s="1"/>
    </row>
    <row r="62" spans="1:9" x14ac:dyDescent="0.25">
      <c r="A62" s="1"/>
      <c r="B62" s="146" t="s">
        <v>208</v>
      </c>
      <c r="C62" s="147"/>
      <c r="D62" s="147"/>
      <c r="E62" s="147"/>
      <c r="F62" s="148"/>
      <c r="G62" s="69">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9U3Eh0ZyyVEiYg5gkYL+NBrH2KJ/9rs0EO/CpFUXGqJvdJGeSnWf5y9Z53mj5+iHHEpZsxpp2owr+FpXoIAtA==" saltValue="I2OEeOewUpLaTYJTRTv3Dg=="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76</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2" t="s">
        <v>10</v>
      </c>
      <c r="C8" s="153"/>
      <c r="D8" s="153"/>
      <c r="E8" s="153"/>
      <c r="F8" s="153"/>
      <c r="G8" s="155"/>
      <c r="H8" s="1"/>
    </row>
    <row r="9" spans="1:8" x14ac:dyDescent="0.25">
      <c r="A9" s="1"/>
      <c r="B9" s="146" t="s">
        <v>143</v>
      </c>
      <c r="C9" s="147"/>
      <c r="D9" s="147"/>
      <c r="E9" s="147"/>
      <c r="F9" s="148"/>
      <c r="G9" s="97">
        <v>9.4381251442904063E-3</v>
      </c>
      <c r="H9" s="1"/>
    </row>
    <row r="10" spans="1:8" x14ac:dyDescent="0.25">
      <c r="A10" s="1"/>
      <c r="B10" s="32"/>
      <c r="C10" s="33"/>
      <c r="D10" s="33"/>
      <c r="E10" s="33"/>
      <c r="F10" s="33"/>
      <c r="G10" s="20"/>
      <c r="H10" s="1"/>
    </row>
    <row r="11" spans="1:8" ht="25.5" customHeight="1" x14ac:dyDescent="0.25">
      <c r="A11" s="1"/>
      <c r="B11" s="160" t="s">
        <v>240</v>
      </c>
      <c r="C11" s="161"/>
      <c r="D11" s="161"/>
      <c r="E11" s="161"/>
      <c r="F11" s="161"/>
      <c r="G11" s="162"/>
      <c r="H11" s="1"/>
    </row>
    <row r="12" spans="1:8" ht="5.25" customHeight="1" x14ac:dyDescent="0.25">
      <c r="A12" s="18"/>
      <c r="B12" s="163"/>
      <c r="C12" s="164"/>
      <c r="D12" s="164"/>
      <c r="E12" s="164"/>
      <c r="F12" s="164"/>
      <c r="G12" s="165"/>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rgLsK70+D6tOpPK2NiQyv+kDiahvqAr3+75QnYet8qWKPYmBtekuwvdL3TCXXQ1zSclrX+qt9rnhWEvgq9SPyw==" saltValue="Sl4qPH8z1gONc9m8LMpRf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2023-09-14T07:34:50Z</dcterms:modified>
</cp:coreProperties>
</file>