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STRUER ENERGI SPILDEVAND AS (S090)\ØR2024\"/>
    </mc:Choice>
  </mc:AlternateContent>
  <xr:revisionPtr revIDLastSave="0" documentId="13_ncr:1_{F174CCAB-B881-4C09-8216-BEDD1E191A4A}"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E17" i="43" l="1"/>
  <c r="E18" i="43"/>
  <c r="E26" i="43" l="1"/>
  <c r="E19" i="43"/>
  <c r="G11" i="36"/>
  <c r="E30" i="43" l="1"/>
  <c r="E32" i="43" s="1"/>
  <c r="C9" i="2"/>
  <c r="C20" i="15" l="1"/>
  <c r="C34" i="2"/>
  <c r="E11" i="39"/>
  <c r="C11" i="39"/>
  <c r="E29" i="20" l="1"/>
  <c r="E23" i="20"/>
  <c r="E17" i="20"/>
  <c r="E11" i="20"/>
  <c r="E12" i="39" l="1"/>
  <c r="C12" i="39"/>
  <c r="C21" i="23" l="1"/>
  <c r="C21" i="22"/>
  <c r="C22" i="15"/>
  <c r="C36" i="2"/>
  <c r="F10" i="11" l="1"/>
  <c r="G18" i="41" l="1"/>
  <c r="C15" i="19" l="1"/>
  <c r="C16" i="19" s="1"/>
  <c r="J11" i="11"/>
  <c r="H11" i="11"/>
  <c r="C15" i="22" l="1"/>
  <c r="C15" i="23"/>
  <c r="C16" i="15"/>
  <c r="C22" i="2"/>
  <c r="G34" i="30"/>
  <c r="C10" i="37" l="1"/>
  <c r="C16" i="37" s="1"/>
  <c r="C17" i="37" s="1"/>
  <c r="G7" i="30" l="1"/>
  <c r="G11" i="30" s="1"/>
  <c r="E30" i="20" l="1"/>
  <c r="E31" i="20" s="1"/>
  <c r="C17" i="23" l="1"/>
  <c r="C27" i="2"/>
  <c r="C29" i="2" s="1"/>
  <c r="C26" i="2"/>
  <c r="C28" i="2" s="1"/>
  <c r="E16" i="40" l="1"/>
  <c r="E12" i="40"/>
  <c r="G26" i="30"/>
  <c r="G33" i="30" s="1"/>
  <c r="C30" i="2" l="1"/>
  <c r="G33" i="36" l="1"/>
  <c r="G25" i="36"/>
  <c r="G32" i="36" s="1"/>
  <c r="G7" i="36"/>
  <c r="G14" i="36" s="1"/>
  <c r="G18" i="36" l="1"/>
  <c r="G20" i="36" l="1"/>
  <c r="G24" i="36"/>
  <c r="G31" i="36" l="1"/>
  <c r="G35" i="36" s="1"/>
  <c r="G27" i="36"/>
  <c r="G39" i="36" l="1"/>
  <c r="G41" i="36" l="1"/>
  <c r="G45" i="36" s="1"/>
  <c r="F11" i="11" l="1"/>
  <c r="E10" i="37" s="1"/>
  <c r="E16" i="37" s="1"/>
  <c r="E17"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3" i="36" s="1"/>
  <c r="G57" i="36" s="1"/>
  <c r="G59" i="30" l="1"/>
  <c r="C16" i="2"/>
  <c r="C17" i="2" s="1"/>
  <c r="G58" i="36"/>
  <c r="C13" i="15" s="1"/>
  <c r="C19" i="2" l="1"/>
  <c r="C20" i="2" s="1"/>
  <c r="C37" i="2" s="1"/>
  <c r="G60" i="30"/>
  <c r="C12" i="15" s="1"/>
  <c r="G62" i="36" l="1"/>
  <c r="G63" i="36" s="1"/>
  <c r="C12" i="22" s="1"/>
  <c r="G64" i="30"/>
  <c r="C9" i="15"/>
  <c r="C10" i="15" l="1"/>
  <c r="C11" i="15" s="1"/>
  <c r="C14" i="15" s="1"/>
  <c r="G65" i="30"/>
  <c r="C11" i="22" s="1"/>
  <c r="G67" i="36" l="1"/>
  <c r="G68" i="36" s="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<sst xmlns="http://schemas.openxmlformats.org/spreadsheetml/2006/main" count="655" uniqueCount="301">
  <si>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</si>
  <si>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</si>
  <si>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</si>
  <si>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</si>
  <si>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</si>
  <si>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</si>
  <si>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</si>
  <si>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</si>
  <si>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</si>
  <si>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</si>
  <si>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</si>
  <si>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</si>
  <si>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</si>
  <si>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</si>
  <si>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</si>
  <si>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</si>
  <si>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</si>
  <si>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</si>
  <si>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</si>
  <si>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</si>
  <si>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</si>
  <si>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</si>
  <si>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</si>
  <si>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</si>
  <si>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</si>
  <si>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</si>
  <si>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</si>
  <si>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</si>
  <si>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</si>
  <si>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</si>
  <si>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</si>
  <si>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</si>
  <si>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</si>
  <si>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</si>
  <si>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</si>
  <si>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</si>
  <si>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</si>
  <si>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</si>
  <si>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</si>
  <si>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</si>
  <si>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</si>
  <si>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</si>
  <si>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</si>
  <si>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</si>
  <si>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</si>
  <si>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</si>
  <si>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</si>
  <si>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</si>
  <si>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</si>
  <si>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</si>
  <si>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</si>
  <si>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</si>
  <si>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</si>
  <si>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</si>
  <si>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</si>
  <si>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</si>
  <si>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</si>
  <si>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</si>
  <si>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</si>
  <si>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</si>
  <si>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</si>
  <si>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</si>
  <si>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</si>
  <si>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</si>
  <si>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</si>
  <si>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</si>
  <si>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</si>
  <si>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</si>
  <si>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</si>
  <si>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</si>
  <si>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</si>
  <si>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</si>
  <si>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</si>
  <si>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</si>
  <si>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</si>
  <si>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</si>
  <si>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</si>
  <si>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</si>
  <si>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</si>
  <si>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</si>
  <si>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</si>
  <si>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</si>
  <si>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</si>
  <si>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</si>
  <si>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</si>
  <si>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</si>
  <si>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</si>
  <si>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</si>
  <si>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</si>
  <si>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</si>
  <si>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</si>
  <si>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</si>
  <si>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</si>
  <si>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</si>
  <si>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</si>
  <si>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</si>
  <si>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</si>
  <si>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</si>
  <si>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</si>
  <si>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</si>
  <si>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</si>
  <si>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</si>
  <si>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</si>
  <si>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</si>
  <si>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</si>
  <si>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</si>
  <si>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</si>
  <si>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</si>
  <si>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</si>
  <si>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</si>
  <si>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</si>
  <si>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</si>
  <si>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</si>
  <si>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</si>
  <si>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</si>
  <si>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</si>
  <si>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</si>
  <si>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</si>
  <si>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</si>
  <si>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</si>
  <si>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</si>
  <si>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</si>
  <si>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</si>
  <si>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</si>
  <si>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</si>
  <si>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</si>
  <si>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</si>
  <si>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</si>
  <si>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</si>
  <si>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</si>
  <si>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</si>
  <si>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</si>
  <si>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</si>
  <si>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</si>
  <si>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</si>
  <si>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</si>
  <si>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</si>
  <si>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</si>
  <si>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</si>
  <si>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</si>
  <si>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</si>
  <si>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</si>
  <si>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</si>
  <si>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</si>
  <si>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</si>
  <si>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</si>
  <si>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</si>
  <si>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</si>
  <si>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</si>
  <si>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</si>
  <si>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</si>
  <si>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</si>
  <si>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</si>
  <si>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</si>
  <si>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</si>
  <si>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</si>
  <si>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</si>
  <si>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</si>
  <si>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</si>
  <si>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</si>
  <si>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</si>
  <si>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</si>
  <si>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</si>
  <si>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</si>
  <si>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</si>
  <si>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</si>
  <si>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</si>
  <si>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</si>
  <si>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</si>
  <si>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</si>
  <si>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</si>
  <si>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</si>
  <si>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</si>
  <si>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</si>
  <si>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</si>
  <si>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</si>
  <si>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</si>
  <si>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</si>
  <si>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</si>
  <si>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</si>
  <si>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</si>
  <si>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</si>
  <si>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</si>
  <si>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</si>
  <si>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</si>
  <si>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</si>
  <si>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</si>
  <si>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</si>
  <si>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</si>
  <si>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</si>
  <si>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</si>
  <si>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</si>
  <si>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</si>
  <si>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</si>
  <si>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</si>
  <si>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</si>
  <si>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</si>
  <si>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</si>
  <si>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</si>
  <si>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</si>
  <si>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</si>
  <si>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</si>
  <si>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</si>
  <si>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</si>
  <si>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</si>
  <si>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</si>
  <si>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</si>
  <si>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</si>
  <si>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</si>
  <si>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</si>
  <si>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</si>
  <si>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</si>
  <si>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</si>
  <si>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</si>
  <si>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</si>
  <si>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</si>
  <si>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</si>
  <si>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</si>
  <si>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</si>
  <si>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</si>
  <si>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</si>
  <si>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</si>
  <si>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</si>
  <si>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</si>
  <si>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</si>
  <si>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</si>
  <si>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</si>
  <si>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</si>
  <si>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</si>
  <si>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</si>
  <si>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</si>
  <si>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</si>
  <si>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</si>
  <si>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</si>
  <si>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</si>
  <si>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</si>
  <si>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</si>
  <si>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</si>
  <si>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</si>
  <si>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</si>
  <si>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</si>
  <si>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</si>
  <si>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</si>
  <si>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</si>
  <si>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</si>
  <si>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</si>
  <si>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</si>
  <si>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</si>
  <si>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</si>
  <si>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</si>
  <si>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</si>
  <si>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</si>
  <si>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</si>
  <si>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</si>
  <si>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</si>
  <si>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</si>
  <si>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</si>
  <si>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</si>
  <si>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</si>
  <si>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</si>
  <si>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</si>
  <si>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</si>
  <si>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</si>
  <si>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</si>
  <si>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</si>
  <si>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</si>
  <si>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</si>
  <si>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</si>
  <si>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</si>
  <si>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</si>
  <si>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anlægsprojekter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</si>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</sst>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3"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16" fillId="0" borderId="1" xfId="4"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55" zoomScaleNormal="100" zoomScalePageLayoutView="55"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6" t="s">
        <v>4</v>
      </c>
      <c r="E6" s="96"/>
      <c r="F6" s="96"/>
      <c r="G6" s="96"/>
      <c r="H6" s="3"/>
      <c r="I6" s="1"/>
    </row>
    <row r="7" spans="1:9" ht="15" customHeight="1" x14ac:dyDescent="0.25">
      <c r="A7" s="1"/>
      <c r="B7" s="1"/>
      <c r="C7" s="3"/>
      <c r="D7" s="96"/>
      <c r="E7" s="96"/>
      <c r="F7" s="96"/>
      <c r="G7" s="96"/>
      <c r="H7" s="3"/>
      <c r="I7" s="1"/>
    </row>
    <row r="8" spans="1:9" ht="15.75" x14ac:dyDescent="0.25">
      <c r="A8" s="1"/>
      <c r="B8" s="1"/>
      <c r="C8" s="4"/>
      <c r="D8" s="101" t="s">
        <v>250</v>
      </c>
      <c r="E8" s="101"/>
      <c r="F8" s="101"/>
      <c r="G8" s="101"/>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1"/>
      <c r="I12" s="1"/>
    </row>
    <row r="13" spans="1:9" x14ac:dyDescent="0.25">
      <c r="A13" s="1"/>
      <c r="B13" s="1"/>
      <c r="C13" s="6" t="s">
        <v>6</v>
      </c>
      <c r="D13" s="102" t="s">
        <v>219</v>
      </c>
      <c r="E13" s="103"/>
      <c r="F13" s="103"/>
      <c r="G13" s="104"/>
      <c r="H13" s="1"/>
      <c r="I13" s="1"/>
    </row>
    <row r="14" spans="1:9" x14ac:dyDescent="0.25">
      <c r="A14" s="1"/>
      <c r="B14" s="1"/>
      <c r="C14" s="6" t="s">
        <v>16</v>
      </c>
      <c r="D14" s="102" t="s">
        <v>223</v>
      </c>
      <c r="E14" s="103"/>
      <c r="F14" s="103"/>
      <c r="G14" s="104"/>
      <c r="H14" s="1"/>
      <c r="I14" s="1"/>
    </row>
    <row r="15" spans="1:9" x14ac:dyDescent="0.25">
      <c r="A15" s="1"/>
      <c r="B15" s="1"/>
      <c r="C15" s="6" t="s">
        <v>32</v>
      </c>
      <c r="D15" s="102" t="s">
        <v>267</v>
      </c>
      <c r="E15" s="103"/>
      <c r="F15" s="103"/>
      <c r="G15" s="104"/>
      <c r="H15" s="1"/>
      <c r="I15" s="1"/>
    </row>
    <row r="16" spans="1:9" x14ac:dyDescent="0.25">
      <c r="A16" s="1"/>
      <c r="B16" s="1"/>
      <c r="C16" s="6" t="s">
        <v>33</v>
      </c>
      <c r="D16" s="102" t="s">
        <v>268</v>
      </c>
      <c r="E16" s="103"/>
      <c r="F16" s="103"/>
      <c r="G16" s="104"/>
      <c r="H16" s="1"/>
      <c r="I16" s="1"/>
    </row>
    <row r="17" spans="1:9" x14ac:dyDescent="0.25">
      <c r="A17" s="1"/>
      <c r="B17" s="1"/>
      <c r="C17" s="6" t="s">
        <v>100</v>
      </c>
      <c r="D17" s="102" t="s">
        <v>220</v>
      </c>
      <c r="E17" s="103"/>
      <c r="F17" s="103"/>
      <c r="G17" s="104"/>
      <c r="H17" s="1"/>
      <c r="I17" s="1"/>
    </row>
    <row r="18" spans="1:9" x14ac:dyDescent="0.25">
      <c r="A18" s="1"/>
      <c r="B18" s="1"/>
      <c r="C18" s="6" t="s">
        <v>85</v>
      </c>
      <c r="D18" s="105" t="s">
        <v>75</v>
      </c>
      <c r="E18" s="106"/>
      <c r="F18" s="106"/>
      <c r="G18" s="107"/>
      <c r="H18" s="1"/>
      <c r="I18" s="1"/>
    </row>
    <row r="19" spans="1:9" x14ac:dyDescent="0.25">
      <c r="A19" s="1"/>
      <c r="B19" s="1"/>
      <c r="C19" s="6" t="s">
        <v>86</v>
      </c>
      <c r="D19" s="105" t="s">
        <v>76</v>
      </c>
      <c r="E19" s="106"/>
      <c r="F19" s="106"/>
      <c r="G19" s="107"/>
      <c r="H19" s="1"/>
      <c r="I19" s="1"/>
    </row>
    <row r="20" spans="1:9" x14ac:dyDescent="0.25">
      <c r="A20" s="1"/>
      <c r="B20" s="1"/>
      <c r="C20" s="6" t="s">
        <v>7</v>
      </c>
      <c r="D20" s="105" t="s">
        <v>10</v>
      </c>
      <c r="E20" s="106"/>
      <c r="F20" s="106"/>
      <c r="G20" s="107"/>
      <c r="H20" s="1"/>
      <c r="I20" s="1"/>
    </row>
    <row r="21" spans="1:9" x14ac:dyDescent="0.25">
      <c r="A21" s="1"/>
      <c r="B21" s="1"/>
      <c r="C21" s="6" t="s">
        <v>87</v>
      </c>
      <c r="D21" s="111" t="s">
        <v>12</v>
      </c>
      <c r="E21" s="112"/>
      <c r="F21" s="112"/>
      <c r="G21" s="113"/>
      <c r="H21" s="1"/>
      <c r="I21" s="1"/>
    </row>
    <row r="22" spans="1:9" x14ac:dyDescent="0.25">
      <c r="A22" s="1"/>
      <c r="B22" s="1"/>
      <c r="C22" s="6" t="s">
        <v>67</v>
      </c>
      <c r="D22" s="97" t="s">
        <v>221</v>
      </c>
      <c r="E22" s="98"/>
      <c r="F22" s="98"/>
      <c r="G22" s="99"/>
      <c r="H22" s="1"/>
      <c r="I22" s="1"/>
    </row>
    <row r="23" spans="1:9" x14ac:dyDescent="0.25">
      <c r="A23" s="1"/>
      <c r="B23" s="1"/>
      <c r="C23" s="6" t="s">
        <v>8</v>
      </c>
      <c r="D23" s="97" t="s">
        <v>192</v>
      </c>
      <c r="E23" s="98"/>
      <c r="F23" s="98"/>
      <c r="G23" s="99"/>
      <c r="H23" s="1"/>
      <c r="I23" s="1"/>
    </row>
    <row r="24" spans="1:9" x14ac:dyDescent="0.25">
      <c r="A24" s="1"/>
      <c r="B24" s="1"/>
      <c r="C24" s="6" t="s">
        <v>9</v>
      </c>
      <c r="D24" s="97" t="s">
        <v>222</v>
      </c>
      <c r="E24" s="98"/>
      <c r="F24" s="98"/>
      <c r="G24" s="99"/>
      <c r="H24" s="1"/>
      <c r="I24" s="1"/>
    </row>
    <row r="25" spans="1:9" x14ac:dyDescent="0.25">
      <c r="A25" s="1"/>
      <c r="B25" s="1"/>
      <c r="C25" s="6" t="s">
        <v>212</v>
      </c>
      <c r="D25" s="97" t="s">
        <v>187</v>
      </c>
      <c r="E25" s="98"/>
      <c r="F25" s="98"/>
      <c r="G25" s="99"/>
      <c r="H25" s="1"/>
      <c r="I25" s="1"/>
    </row>
    <row r="26" spans="1:9" x14ac:dyDescent="0.25">
      <c r="A26" s="1"/>
      <c r="B26" s="1"/>
      <c r="C26" s="6" t="s">
        <v>213</v>
      </c>
      <c r="D26" s="97" t="s">
        <v>68</v>
      </c>
      <c r="E26" s="98"/>
      <c r="F26" s="98"/>
      <c r="G26" s="99"/>
      <c r="H26" s="1"/>
      <c r="I26" s="1"/>
    </row>
    <row r="27" spans="1:9" x14ac:dyDescent="0.25">
      <c r="A27" s="1"/>
      <c r="B27" s="1"/>
      <c r="C27" s="6" t="s">
        <v>214</v>
      </c>
      <c r="D27" s="97" t="s">
        <v>69</v>
      </c>
      <c r="E27" s="98"/>
      <c r="F27" s="98"/>
      <c r="G27" s="99"/>
      <c r="H27" s="1"/>
      <c r="I27" s="1"/>
    </row>
    <row r="28" spans="1:9" x14ac:dyDescent="0.25">
      <c r="A28" s="1"/>
      <c r="B28" s="1"/>
      <c r="C28" s="6" t="s">
        <v>15</v>
      </c>
      <c r="D28" s="97" t="s">
        <v>70</v>
      </c>
      <c r="E28" s="98"/>
      <c r="F28" s="98"/>
      <c r="G28" s="99"/>
      <c r="H28" s="1"/>
      <c r="I28" s="1"/>
    </row>
    <row r="29" spans="1:9" x14ac:dyDescent="0.25">
      <c r="A29" s="1"/>
      <c r="B29" s="1"/>
      <c r="C29" s="6" t="s">
        <v>35</v>
      </c>
      <c r="D29" s="97" t="s">
        <v>103</v>
      </c>
      <c r="E29" s="98"/>
      <c r="F29" s="98"/>
      <c r="G29" s="99"/>
      <c r="H29" s="1"/>
      <c r="I29" s="1"/>
    </row>
    <row r="30" spans="1:9" x14ac:dyDescent="0.25">
      <c r="A30" s="1"/>
      <c r="B30" s="1"/>
      <c r="C30" s="6" t="s">
        <v>36</v>
      </c>
      <c r="D30" s="97" t="s">
        <v>34</v>
      </c>
      <c r="E30" s="98"/>
      <c r="F30" s="98"/>
      <c r="G30" s="99"/>
      <c r="H30" s="1"/>
      <c r="I30" s="1"/>
    </row>
    <row r="31" spans="1:9" x14ac:dyDescent="0.25">
      <c r="A31" s="1"/>
      <c r="B31" s="1"/>
      <c r="C31" s="6" t="s">
        <v>215</v>
      </c>
      <c r="D31" s="108" t="s">
        <v>84</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Q6uzT8yZMmgHGx40KskFzKiPAxmTfr85gEx5rI5MYZ96I63EsxVhZbUrZoYSiYaBwO5inA7Lp+jO7IGupsP33g==" saltValue="mqHbgEqgqyGRfXZP0TOdJw=="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1"/>
  <sheetViews>
    <sheetView showGridLines="0" view="pageLayout" zoomScale="70" zoomScaleNormal="100" zoomScalePageLayoutView="7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4" t="s">
        <v>88</v>
      </c>
      <c r="C3" s="114"/>
      <c r="D3" s="114"/>
      <c r="E3" s="1"/>
      <c r="F3" s="1"/>
    </row>
    <row r="4" spans="1:6" ht="15" customHeight="1" x14ac:dyDescent="0.25">
      <c r="A4" s="1"/>
      <c r="B4" s="114"/>
      <c r="C4" s="114"/>
      <c r="D4" s="11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258</v>
      </c>
      <c r="C8" s="136"/>
      <c r="D8" s="137"/>
      <c r="E8" s="1"/>
      <c r="F8" s="1"/>
    </row>
    <row r="9" spans="1:6" ht="15" customHeight="1" x14ac:dyDescent="0.25">
      <c r="A9" s="1"/>
      <c r="B9" s="33" t="s">
        <v>30</v>
      </c>
      <c r="C9" s="11" t="s">
        <v>188</v>
      </c>
      <c r="D9" s="11"/>
      <c r="E9" s="1"/>
      <c r="F9" s="1"/>
    </row>
    <row r="10" spans="1:6" ht="15" customHeight="1" x14ac:dyDescent="0.25">
      <c r="A10" s="1"/>
      <c r="B10" s="51" t="s">
        <v>279</v>
      </c>
      <c r="C10" s="9">
        <v>486798</v>
      </c>
      <c r="D10" s="14" t="s">
        <v>3</v>
      </c>
      <c r="E10" s="1"/>
      <c r="F10" s="1"/>
    </row>
    <row r="11" spans="1:6" ht="15" customHeight="1" x14ac:dyDescent="0.25">
      <c r="A11" s="1"/>
      <c r="B11" s="51" t="s">
        <v>280</v>
      </c>
      <c r="C11" s="9">
        <v>68062</v>
      </c>
      <c r="D11" s="14" t="s">
        <v>3</v>
      </c>
      <c r="E11" s="1"/>
      <c r="F11" s="1"/>
    </row>
    <row r="12" spans="1:6" ht="26.25" x14ac:dyDescent="0.25">
      <c r="A12" s="1"/>
      <c r="B12" s="67" t="s">
        <v>281</v>
      </c>
      <c r="C12" s="9">
        <v>207423</v>
      </c>
      <c r="D12" s="14" t="s">
        <v>3</v>
      </c>
      <c r="E12" s="1"/>
      <c r="F12" s="1"/>
    </row>
    <row r="13" spans="1:6" x14ac:dyDescent="0.25">
      <c r="A13" s="1"/>
      <c r="B13" s="51" t="s">
        <v>282</v>
      </c>
      <c r="C13" s="9">
        <v>56013</v>
      </c>
      <c r="D13" s="14" t="s">
        <v>3</v>
      </c>
      <c r="E13" s="1"/>
      <c r="F13" s="1"/>
    </row>
    <row r="14" spans="1:6" x14ac:dyDescent="0.25">
      <c r="A14" s="1"/>
      <c r="B14" s="51"/>
      <c r="C14" s="9"/>
      <c r="D14" s="14" t="s">
        <v>3</v>
      </c>
      <c r="E14" s="1"/>
      <c r="F14" s="1"/>
    </row>
    <row r="15" spans="1:6" x14ac:dyDescent="0.25">
      <c r="A15" s="1"/>
      <c r="B15" s="30" t="s">
        <v>259</v>
      </c>
      <c r="C15" s="12">
        <f>SUM(C10:C14)</f>
        <v>818296</v>
      </c>
      <c r="D15" s="13" t="s">
        <v>3</v>
      </c>
      <c r="E15" s="1"/>
      <c r="F15" s="1"/>
    </row>
    <row r="16" spans="1:6" x14ac:dyDescent="0.25">
      <c r="A16" s="1"/>
      <c r="B16" s="30" t="s">
        <v>260</v>
      </c>
      <c r="C16" s="12">
        <f>C15*(1+'Fane 15. Nøgletal'!C16)^2</f>
        <v>955874.99359743996</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5" t="s">
        <v>96</v>
      </c>
      <c r="C19" s="136"/>
      <c r="D19" s="137"/>
      <c r="E19" s="1"/>
      <c r="F19" s="1"/>
    </row>
    <row r="20" spans="1:6" x14ac:dyDescent="0.25">
      <c r="A20" s="1"/>
      <c r="B20" s="51" t="s">
        <v>216</v>
      </c>
      <c r="C20" s="9">
        <v>0</v>
      </c>
      <c r="D20" s="14" t="s">
        <v>3</v>
      </c>
      <c r="E20" s="1"/>
      <c r="F20" s="1"/>
    </row>
    <row r="21" spans="1:6" x14ac:dyDescent="0.25">
      <c r="A21" s="1"/>
      <c r="B21" s="51" t="s">
        <v>217</v>
      </c>
      <c r="C21" s="9">
        <v>0</v>
      </c>
      <c r="D21" s="14" t="s">
        <v>3</v>
      </c>
      <c r="E21" s="1"/>
      <c r="F21" s="1"/>
    </row>
    <row r="22" spans="1:6" x14ac:dyDescent="0.25">
      <c r="A22" s="1"/>
      <c r="B22" s="51" t="s">
        <v>218</v>
      </c>
      <c r="C22" s="9">
        <v>0</v>
      </c>
      <c r="D22" s="14" t="s">
        <v>3</v>
      </c>
      <c r="E22" s="1"/>
      <c r="F22" s="1"/>
    </row>
    <row r="23" spans="1:6" x14ac:dyDescent="0.25">
      <c r="A23" s="1"/>
      <c r="B23" s="26" t="s">
        <v>257</v>
      </c>
      <c r="C23" s="9">
        <v>0</v>
      </c>
      <c r="D23" s="14" t="s">
        <v>3</v>
      </c>
      <c r="E23" s="1"/>
      <c r="F23" s="1"/>
    </row>
    <row r="24" spans="1:6" x14ac:dyDescent="0.25">
      <c r="A24" s="1"/>
      <c r="B24" s="135"/>
      <c r="C24" s="136"/>
      <c r="D24" s="137"/>
      <c r="E24" s="1"/>
      <c r="F24" s="1"/>
    </row>
    <row r="25" spans="1:6" x14ac:dyDescent="0.25">
      <c r="A25" s="1"/>
      <c r="B25" s="1"/>
      <c r="C25" s="1"/>
      <c r="D25" s="1"/>
      <c r="E25" s="1"/>
      <c r="F25" s="1"/>
    </row>
    <row r="26" spans="1:6" x14ac:dyDescent="0.25">
      <c r="A26" s="1"/>
      <c r="B26" s="1"/>
      <c r="C26" s="1"/>
      <c r="D26" s="1"/>
      <c r="E26" s="1"/>
      <c r="F26" s="1"/>
    </row>
    <row r="27" spans="1:6" x14ac:dyDescent="0.25">
      <c r="A27" s="1"/>
      <c r="B27" s="135" t="s">
        <v>78</v>
      </c>
      <c r="C27" s="136"/>
      <c r="D27" s="137"/>
      <c r="E27" s="1"/>
      <c r="F27" s="1"/>
    </row>
    <row r="28" spans="1:6" x14ac:dyDescent="0.25">
      <c r="A28" s="1"/>
      <c r="B28" s="51" t="s">
        <v>216</v>
      </c>
      <c r="C28" s="9">
        <v>0</v>
      </c>
      <c r="D28" s="14" t="s">
        <v>3</v>
      </c>
      <c r="E28" s="1"/>
      <c r="F28" s="1"/>
    </row>
    <row r="29" spans="1:6" x14ac:dyDescent="0.25">
      <c r="A29" s="1"/>
      <c r="B29" s="51" t="s">
        <v>217</v>
      </c>
      <c r="C29" s="9">
        <v>0</v>
      </c>
      <c r="D29" s="14" t="s">
        <v>3</v>
      </c>
      <c r="E29" s="1"/>
      <c r="F29" s="1"/>
    </row>
    <row r="30" spans="1:6" x14ac:dyDescent="0.25">
      <c r="A30" s="1"/>
      <c r="B30" s="51" t="s">
        <v>218</v>
      </c>
      <c r="C30" s="9">
        <v>0</v>
      </c>
      <c r="D30" s="14" t="s">
        <v>3</v>
      </c>
      <c r="E30" s="1"/>
      <c r="F30" s="1"/>
    </row>
    <row r="31" spans="1:6" x14ac:dyDescent="0.25">
      <c r="A31" s="1"/>
      <c r="B31" s="26" t="s">
        <v>257</v>
      </c>
      <c r="C31" s="9">
        <v>0</v>
      </c>
      <c r="D31" s="14" t="s">
        <v>3</v>
      </c>
      <c r="E31" s="1"/>
      <c r="F31" s="1"/>
    </row>
    <row r="32" spans="1:6" x14ac:dyDescent="0.25">
      <c r="A32" s="1"/>
      <c r="B32" s="135"/>
      <c r="C32" s="136"/>
      <c r="D32" s="137"/>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9"/>
      <c r="B50" s="39"/>
      <c r="C50" s="39"/>
      <c r="D50" s="39"/>
      <c r="E50" s="39"/>
      <c r="F50" s="39"/>
    </row>
    <row r="51" spans="1:6" x14ac:dyDescent="0.25">
      <c r="A51" s="39"/>
      <c r="B51" s="39"/>
      <c r="C51" s="39"/>
      <c r="D51" s="39"/>
      <c r="E51" s="39"/>
      <c r="F51" s="39"/>
    </row>
  </sheetData>
  <sheetProtection algorithmName="SHA-512" hashValue="JcO2pfot8UDhxYH8n+Bi//VXEB4NHWt+vWfBw4fRWnKjbyDjNNzjJ7DsBYJ38/xETLpw/mcHkIXJAZK8i3OPnA==" saltValue="0PbrrqJtL5HIG6VREwSgj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30DA-2C6A-45E2-A0F6-A8FDD7C5B0DF}">
  <dimension ref="A1:G54"/>
  <sheetViews>
    <sheetView showGridLines="0" view="pageLayout" zoomScale="85" zoomScaleNormal="100" zoomScalePageLayoutView="85"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289</v>
      </c>
      <c r="C3" s="120"/>
      <c r="D3" s="120"/>
      <c r="E3" s="120"/>
      <c r="F3" s="120"/>
      <c r="G3" s="1"/>
    </row>
    <row r="4" spans="1:7" ht="15" customHeight="1" x14ac:dyDescent="0.25">
      <c r="A4" s="1"/>
      <c r="B4" s="120"/>
      <c r="C4" s="120"/>
      <c r="D4" s="120"/>
      <c r="E4" s="120"/>
      <c r="F4" s="120"/>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3.5" customHeight="1" x14ac:dyDescent="0.25">
      <c r="A7" s="1"/>
      <c r="B7" s="1"/>
      <c r="C7" s="1"/>
      <c r="D7" s="1"/>
      <c r="E7" s="1"/>
      <c r="F7" s="1"/>
      <c r="G7" s="1"/>
    </row>
    <row r="8" spans="1:7" x14ac:dyDescent="0.25">
      <c r="A8" s="1"/>
      <c r="B8" s="135" t="s">
        <v>159</v>
      </c>
      <c r="C8" s="136"/>
      <c r="D8" s="136"/>
      <c r="E8" s="136"/>
      <c r="F8" s="137"/>
      <c r="G8" s="1"/>
    </row>
    <row r="9" spans="1:7" x14ac:dyDescent="0.25">
      <c r="A9" s="1"/>
      <c r="B9" s="143" t="s">
        <v>160</v>
      </c>
      <c r="C9" s="144"/>
      <c r="D9" s="145"/>
      <c r="E9" s="9">
        <v>13072746</v>
      </c>
      <c r="F9" s="14" t="s">
        <v>3</v>
      </c>
      <c r="G9" s="1"/>
    </row>
    <row r="10" spans="1:7" x14ac:dyDescent="0.25">
      <c r="A10" s="1"/>
      <c r="B10" s="143" t="s">
        <v>161</v>
      </c>
      <c r="C10" s="144"/>
      <c r="D10" s="145"/>
      <c r="E10" s="9">
        <v>9834240</v>
      </c>
      <c r="F10" s="14" t="s">
        <v>3</v>
      </c>
      <c r="G10" s="1"/>
    </row>
    <row r="11" spans="1:7" x14ac:dyDescent="0.25">
      <c r="A11" s="1"/>
      <c r="B11" s="143" t="s">
        <v>172</v>
      </c>
      <c r="C11" s="144"/>
      <c r="D11" s="145"/>
      <c r="E11" s="9">
        <v>4856398</v>
      </c>
      <c r="F11" s="14" t="s">
        <v>3</v>
      </c>
      <c r="G11" s="1"/>
    </row>
    <row r="12" spans="1:7" x14ac:dyDescent="0.25">
      <c r="A12" s="1"/>
      <c r="B12" s="143" t="s">
        <v>290</v>
      </c>
      <c r="C12" s="144"/>
      <c r="D12" s="145"/>
      <c r="E12" s="9">
        <v>5285880</v>
      </c>
      <c r="F12" s="14" t="s">
        <v>3</v>
      </c>
      <c r="G12" s="1"/>
    </row>
    <row r="13" spans="1:7" x14ac:dyDescent="0.25">
      <c r="A13" s="1"/>
      <c r="B13" s="30"/>
      <c r="C13" s="31"/>
      <c r="D13" s="31"/>
      <c r="E13" s="31"/>
      <c r="F13" s="19"/>
      <c r="G13" s="1"/>
    </row>
    <row r="14" spans="1:7" ht="42.75" customHeight="1" x14ac:dyDescent="0.25">
      <c r="A14" s="1"/>
      <c r="B14" s="149" t="s">
        <v>291</v>
      </c>
      <c r="C14" s="150"/>
      <c r="D14" s="150"/>
      <c r="E14" s="150"/>
      <c r="F14" s="151"/>
      <c r="G14" s="1"/>
    </row>
    <row r="15" spans="1:7" x14ac:dyDescent="0.25">
      <c r="A15" s="1"/>
      <c r="B15" s="1"/>
      <c r="C15" s="1"/>
      <c r="D15" s="1"/>
      <c r="E15" s="1"/>
      <c r="F15" s="1"/>
      <c r="G15" s="1"/>
    </row>
    <row r="16" spans="1:7" x14ac:dyDescent="0.25">
      <c r="A16" s="1"/>
      <c r="B16" s="80" t="s">
        <v>292</v>
      </c>
      <c r="C16" s="81"/>
      <c r="D16" s="81"/>
      <c r="E16" s="81"/>
      <c r="F16" s="82"/>
      <c r="G16" s="1"/>
    </row>
    <row r="17" spans="1:7" x14ac:dyDescent="0.25">
      <c r="A17" s="1"/>
      <c r="B17" s="83" t="s">
        <v>293</v>
      </c>
      <c r="C17" s="84"/>
      <c r="D17" s="85"/>
      <c r="E17" s="9">
        <f>IF(E12&lt;0,E12,0)</f>
        <v>0</v>
      </c>
      <c r="F17" s="14" t="s">
        <v>3</v>
      </c>
      <c r="G17" s="1"/>
    </row>
    <row r="18" spans="1:7" x14ac:dyDescent="0.25">
      <c r="A18" s="1"/>
      <c r="B18" s="83" t="s">
        <v>294</v>
      </c>
      <c r="C18" s="84"/>
      <c r="D18" s="85"/>
      <c r="E18" s="9">
        <f>IF(SUM(E9:E11)&gt;0,SUM(E9:E11),0)</f>
        <v>27763384</v>
      </c>
      <c r="F18" s="14" t="s">
        <v>3</v>
      </c>
      <c r="G18" s="1"/>
    </row>
    <row r="19" spans="1:7" x14ac:dyDescent="0.25">
      <c r="A19" s="1"/>
      <c r="B19" s="86" t="s">
        <v>295</v>
      </c>
      <c r="C19" s="87"/>
      <c r="D19" s="88"/>
      <c r="E19" s="72">
        <f>IF(SUM(E17:E18)&gt;0,0,SUM(E17:E18))</f>
        <v>0</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0" t="s">
        <v>296</v>
      </c>
      <c r="C22" s="81"/>
      <c r="D22" s="81"/>
      <c r="E22" s="81"/>
      <c r="F22" s="82"/>
      <c r="G22" s="1"/>
    </row>
    <row r="23" spans="1:7" x14ac:dyDescent="0.25">
      <c r="A23" s="1"/>
      <c r="B23" s="83" t="s">
        <v>297</v>
      </c>
      <c r="C23" s="84"/>
      <c r="D23" s="85"/>
      <c r="E23" s="9">
        <v>33678199</v>
      </c>
      <c r="F23" s="14" t="s">
        <v>3</v>
      </c>
      <c r="G23" s="1"/>
    </row>
    <row r="24" spans="1:7" x14ac:dyDescent="0.25">
      <c r="A24" s="1"/>
      <c r="B24" s="83" t="s">
        <v>298</v>
      </c>
      <c r="C24" s="84"/>
      <c r="D24" s="85"/>
      <c r="E24" s="9">
        <v>29636369</v>
      </c>
      <c r="F24" s="14" t="s">
        <v>3</v>
      </c>
      <c r="G24" s="1"/>
    </row>
    <row r="25" spans="1:7" x14ac:dyDescent="0.25">
      <c r="A25" s="1"/>
      <c r="B25" s="83" t="s">
        <v>31</v>
      </c>
      <c r="C25" s="84"/>
      <c r="D25" s="85"/>
      <c r="E25" s="9">
        <v>0</v>
      </c>
      <c r="F25" s="14" t="s">
        <v>3</v>
      </c>
      <c r="G25" s="1"/>
    </row>
    <row r="26" spans="1:7" x14ac:dyDescent="0.25">
      <c r="A26" s="1"/>
      <c r="B26" s="86" t="s">
        <v>299</v>
      </c>
      <c r="C26" s="87"/>
      <c r="D26" s="88"/>
      <c r="E26" s="72">
        <f>E23-E24-E25</f>
        <v>4041830</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5" t="s">
        <v>300</v>
      </c>
      <c r="C29" s="136"/>
      <c r="D29" s="136"/>
      <c r="E29" s="136"/>
      <c r="F29" s="137"/>
      <c r="G29" s="1"/>
    </row>
    <row r="30" spans="1:7" x14ac:dyDescent="0.25">
      <c r="A30" s="1"/>
      <c r="B30" s="152" t="s">
        <v>119</v>
      </c>
      <c r="C30" s="153"/>
      <c r="D30" s="154"/>
      <c r="E30" s="9">
        <f>IF(E19&lt;0,IF(E26&lt;0,SUM(E19,E26),IF(E11&gt;0,SUM(E11:E12),E19)),IF(AND(E26&lt;0,SUM(E26,E12)&lt;0),IF(SUM(E9:E12)&lt;0,E26,E26),IF(AND(E26&lt;0,SUM(E9:E12)&lt;0),E26,0)))</f>
        <v>0</v>
      </c>
      <c r="F30" s="14" t="s">
        <v>3</v>
      </c>
      <c r="G30" s="1"/>
    </row>
    <row r="31" spans="1:7" x14ac:dyDescent="0.25">
      <c r="A31" s="1"/>
      <c r="B31" s="152" t="s">
        <v>81</v>
      </c>
      <c r="C31" s="153"/>
      <c r="D31" s="154"/>
      <c r="E31" s="9">
        <v>2</v>
      </c>
      <c r="F31" s="14" t="s">
        <v>20</v>
      </c>
      <c r="G31" s="1"/>
    </row>
    <row r="32" spans="1:7" x14ac:dyDescent="0.25">
      <c r="A32" s="1"/>
      <c r="B32" s="155" t="s">
        <v>121</v>
      </c>
      <c r="C32" s="156"/>
      <c r="D32" s="157"/>
      <c r="E32" s="10">
        <f>E30/E31</f>
        <v>0</v>
      </c>
      <c r="F32" s="17" t="s">
        <v>3</v>
      </c>
      <c r="G32" s="1"/>
    </row>
    <row r="33" spans="1:7" x14ac:dyDescent="0.25">
      <c r="A33" s="1"/>
      <c r="B33" s="146"/>
      <c r="C33" s="147"/>
      <c r="D33" s="147"/>
      <c r="E33" s="147"/>
      <c r="F33" s="1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QWaiNiTVfmF+s7TL4Mjs07Sx+AJc8u42YRyUg3LWMrT4Cc7cCFMr1L76Xma5PEdwqwBiOk2ELvlRbE1n7W48rg==" saltValue="HLF+oULzt4cEx5EqeSwQhg=="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70" zoomScaleNormal="100" zoomScalePageLayoutView="7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4" t="s">
        <v>193</v>
      </c>
      <c r="C3" s="114"/>
      <c r="D3" s="114"/>
      <c r="E3" s="114"/>
      <c r="F3" s="114"/>
      <c r="G3" s="114"/>
      <c r="H3" s="114"/>
      <c r="I3" s="1"/>
    </row>
    <row r="4" spans="1:9" ht="15" customHeight="1" x14ac:dyDescent="0.25">
      <c r="A4" s="1"/>
      <c r="B4" s="114"/>
      <c r="C4" s="114"/>
      <c r="D4" s="114"/>
      <c r="E4" s="114"/>
      <c r="F4" s="114"/>
      <c r="G4" s="114"/>
      <c r="H4" s="11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194</v>
      </c>
      <c r="C8" s="136"/>
      <c r="D8" s="136"/>
      <c r="E8" s="136"/>
      <c r="F8" s="136"/>
      <c r="G8" s="136"/>
      <c r="H8" s="137"/>
      <c r="I8" s="1"/>
    </row>
    <row r="9" spans="1:9" ht="15" customHeight="1" x14ac:dyDescent="0.25">
      <c r="A9" s="1"/>
      <c r="B9" s="158" t="s">
        <v>195</v>
      </c>
      <c r="C9" s="159"/>
      <c r="D9" s="159"/>
      <c r="E9" s="159"/>
      <c r="F9" s="159"/>
      <c r="G9" s="159"/>
      <c r="H9" s="160"/>
      <c r="I9" s="1"/>
    </row>
    <row r="10" spans="1:9" x14ac:dyDescent="0.25">
      <c r="A10" s="1"/>
      <c r="B10" s="161" t="s">
        <v>196</v>
      </c>
      <c r="C10" s="162"/>
      <c r="D10" s="162"/>
      <c r="E10" s="162"/>
      <c r="F10" s="163"/>
      <c r="G10" s="40">
        <v>0</v>
      </c>
      <c r="H10" s="9" t="s">
        <v>3</v>
      </c>
      <c r="I10" s="1"/>
    </row>
    <row r="11" spans="1:9" x14ac:dyDescent="0.25">
      <c r="A11" s="1"/>
      <c r="B11" s="161" t="s">
        <v>197</v>
      </c>
      <c r="C11" s="162"/>
      <c r="D11" s="162"/>
      <c r="E11" s="162"/>
      <c r="F11" s="163"/>
      <c r="G11" s="40">
        <v>0</v>
      </c>
      <c r="H11" s="9" t="s">
        <v>3</v>
      </c>
      <c r="I11" s="1"/>
    </row>
    <row r="12" spans="1:9" x14ac:dyDescent="0.25">
      <c r="A12" s="1"/>
      <c r="B12" s="161" t="s">
        <v>198</v>
      </c>
      <c r="C12" s="162"/>
      <c r="D12" s="162"/>
      <c r="E12" s="162"/>
      <c r="F12" s="163"/>
      <c r="G12" s="9">
        <v>0</v>
      </c>
      <c r="H12" s="9" t="s">
        <v>3</v>
      </c>
      <c r="I12" s="1"/>
    </row>
    <row r="13" spans="1:9" x14ac:dyDescent="0.25">
      <c r="A13" s="1"/>
      <c r="B13" s="161" t="s">
        <v>199</v>
      </c>
      <c r="C13" s="162"/>
      <c r="D13" s="162"/>
      <c r="E13" s="162"/>
      <c r="F13" s="163"/>
      <c r="G13" s="9">
        <v>0</v>
      </c>
      <c r="H13" s="9" t="s">
        <v>3</v>
      </c>
      <c r="I13" s="1"/>
    </row>
    <row r="14" spans="1:9" x14ac:dyDescent="0.25">
      <c r="A14" s="1"/>
      <c r="B14" s="161" t="s">
        <v>200</v>
      </c>
      <c r="C14" s="162"/>
      <c r="D14" s="162"/>
      <c r="E14" s="162"/>
      <c r="F14" s="163"/>
      <c r="G14" s="9">
        <v>0</v>
      </c>
      <c r="H14" s="9" t="s">
        <v>3</v>
      </c>
      <c r="I14" s="1"/>
    </row>
    <row r="15" spans="1:9" x14ac:dyDescent="0.25">
      <c r="A15" s="1"/>
      <c r="B15" s="161" t="s">
        <v>201</v>
      </c>
      <c r="C15" s="162"/>
      <c r="D15" s="162"/>
      <c r="E15" s="162"/>
      <c r="F15" s="163"/>
      <c r="G15" s="9">
        <v>0</v>
      </c>
      <c r="H15" s="9" t="s">
        <v>3</v>
      </c>
      <c r="I15" s="1"/>
    </row>
    <row r="16" spans="1:9" x14ac:dyDescent="0.25">
      <c r="A16" s="1"/>
      <c r="B16" s="161" t="s">
        <v>202</v>
      </c>
      <c r="C16" s="162"/>
      <c r="D16" s="162"/>
      <c r="E16" s="162"/>
      <c r="F16" s="163"/>
      <c r="G16" s="9">
        <v>0</v>
      </c>
      <c r="H16" s="9" t="s">
        <v>3</v>
      </c>
      <c r="I16" s="1"/>
    </row>
    <row r="17" spans="1:9" x14ac:dyDescent="0.25">
      <c r="A17" s="1"/>
      <c r="B17" s="161" t="s">
        <v>203</v>
      </c>
      <c r="C17" s="162"/>
      <c r="D17" s="162"/>
      <c r="E17" s="162"/>
      <c r="F17" s="163"/>
      <c r="G17" s="9">
        <v>0</v>
      </c>
      <c r="H17" s="9" t="s">
        <v>3</v>
      </c>
      <c r="I17" s="1"/>
    </row>
    <row r="18" spans="1:9" x14ac:dyDescent="0.25">
      <c r="A18" s="1"/>
      <c r="B18" s="135" t="s">
        <v>204</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7V/6aTvYRRvCgG4w0ggQcgJEfR5c754NWP8+1/tGxqDJ/z7wBvePOW5b/yML5FWnNJMBS6FOytNhlbQ8XfIapQ==" saltValue="P6xQ0i/OfXtlp1+RvoFEu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70" zoomScaleNormal="100" zoomScalePageLayoutView="70"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283</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4" t="s">
        <v>284</v>
      </c>
      <c r="C9" s="164"/>
      <c r="D9" s="164"/>
      <c r="E9" s="164"/>
      <c r="F9" s="164"/>
      <c r="G9" s="1"/>
    </row>
    <row r="10" spans="1:7" x14ac:dyDescent="0.25">
      <c r="A10" s="1"/>
      <c r="B10" s="149" t="s">
        <v>79</v>
      </c>
      <c r="C10" s="150"/>
      <c r="D10" s="151"/>
      <c r="E10" s="7">
        <v>0</v>
      </c>
      <c r="F10" s="8" t="s">
        <v>3</v>
      </c>
      <c r="G10" s="1"/>
    </row>
    <row r="11" spans="1:7" x14ac:dyDescent="0.25">
      <c r="A11" s="1"/>
      <c r="B11" s="143" t="s">
        <v>285</v>
      </c>
      <c r="C11" s="144"/>
      <c r="D11" s="145"/>
      <c r="E11" s="7">
        <v>0</v>
      </c>
      <c r="F11" s="8" t="s">
        <v>3</v>
      </c>
      <c r="G11" s="1"/>
    </row>
    <row r="12" spans="1:7" x14ac:dyDescent="0.25">
      <c r="A12" s="1"/>
      <c r="B12" s="155" t="s">
        <v>80</v>
      </c>
      <c r="C12" s="156"/>
      <c r="D12" s="157"/>
      <c r="E12" s="10">
        <f>E11-E10</f>
        <v>0</v>
      </c>
      <c r="F12" s="11" t="s">
        <v>3</v>
      </c>
      <c r="G12" s="1"/>
    </row>
    <row r="13" spans="1:7" x14ac:dyDescent="0.25">
      <c r="A13" s="1"/>
      <c r="B13" s="164" t="s">
        <v>74</v>
      </c>
      <c r="C13" s="164"/>
      <c r="D13" s="164"/>
      <c r="E13" s="164"/>
      <c r="F13" s="164"/>
      <c r="G13" s="1"/>
    </row>
    <row r="14" spans="1:7" x14ac:dyDescent="0.25">
      <c r="A14" s="1"/>
      <c r="B14" s="143" t="s">
        <v>286</v>
      </c>
      <c r="C14" s="144"/>
      <c r="D14" s="145"/>
      <c r="E14" s="7">
        <v>0</v>
      </c>
      <c r="F14" s="8" t="s">
        <v>3</v>
      </c>
      <c r="G14" s="1"/>
    </row>
    <row r="15" spans="1:7" x14ac:dyDescent="0.25">
      <c r="A15" s="1"/>
      <c r="B15" s="149" t="s">
        <v>287</v>
      </c>
      <c r="C15" s="150"/>
      <c r="D15" s="151"/>
      <c r="E15" s="7">
        <v>0</v>
      </c>
      <c r="F15" s="8" t="s">
        <v>3</v>
      </c>
      <c r="G15" s="1"/>
    </row>
    <row r="16" spans="1:7" x14ac:dyDescent="0.25">
      <c r="A16" s="1"/>
      <c r="B16" s="155" t="s">
        <v>80</v>
      </c>
      <c r="C16" s="156"/>
      <c r="D16" s="157"/>
      <c r="E16" s="10">
        <f>E15-E14</f>
        <v>0</v>
      </c>
      <c r="F16" s="11" t="s">
        <v>3</v>
      </c>
      <c r="G16" s="1"/>
    </row>
    <row r="17" spans="1:7" ht="15" customHeight="1" x14ac:dyDescent="0.25">
      <c r="A17" s="1"/>
      <c r="B17" s="30" t="s">
        <v>288</v>
      </c>
      <c r="C17" s="31"/>
      <c r="D17" s="31"/>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yOWw6N7Nj0Yp4t/Jo01JgyzplN9Mjxqlaf+2DyKY62F0a4YJVNg6fePv+RDV2qRL6Igkr4hqYUpzXg5yqp1MQ==" saltValue="/aGnEDQs/dcxG8LVo+3oz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85" zoomScaleNormal="100" zoomScalePageLayoutView="85"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4" t="s">
        <v>205</v>
      </c>
      <c r="C3" s="114"/>
      <c r="D3" s="114"/>
      <c r="E3" s="114"/>
      <c r="F3" s="114"/>
      <c r="G3" s="114"/>
      <c r="H3" s="114"/>
      <c r="I3" s="114"/>
      <c r="J3" s="114"/>
      <c r="K3" s="114"/>
      <c r="L3" s="1"/>
    </row>
    <row r="4" spans="1:12" ht="15" customHeight="1" x14ac:dyDescent="0.25">
      <c r="A4" s="1"/>
      <c r="B4" s="114"/>
      <c r="C4" s="114"/>
      <c r="D4" s="114"/>
      <c r="E4" s="114"/>
      <c r="F4" s="114"/>
      <c r="G4" s="114"/>
      <c r="H4" s="114"/>
      <c r="I4" s="114"/>
      <c r="J4" s="114"/>
      <c r="K4" s="11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179</v>
      </c>
      <c r="C8" s="136"/>
      <c r="D8" s="136"/>
      <c r="E8" s="136"/>
      <c r="F8" s="136"/>
      <c r="G8" s="136"/>
      <c r="H8" s="136"/>
      <c r="I8" s="136"/>
      <c r="J8" s="136"/>
      <c r="K8" s="137"/>
      <c r="L8" s="1"/>
    </row>
    <row r="9" spans="1:12" ht="39.75" customHeight="1" x14ac:dyDescent="0.25">
      <c r="A9" s="1"/>
      <c r="B9" s="18" t="s">
        <v>0</v>
      </c>
      <c r="C9" s="18" t="s">
        <v>1</v>
      </c>
      <c r="D9" s="165" t="s">
        <v>189</v>
      </c>
      <c r="E9" s="166"/>
      <c r="F9" s="165" t="s">
        <v>2</v>
      </c>
      <c r="G9" s="166"/>
      <c r="H9" s="165" t="s">
        <v>191</v>
      </c>
      <c r="I9" s="166"/>
      <c r="J9" s="165" t="s">
        <v>28</v>
      </c>
      <c r="K9" s="166"/>
      <c r="L9" s="1"/>
    </row>
    <row r="10" spans="1:12" x14ac:dyDescent="0.25">
      <c r="A10" s="1"/>
      <c r="B10" s="91" t="s">
        <v>270</v>
      </c>
      <c r="C10" s="34">
        <v>0</v>
      </c>
      <c r="D10" s="9">
        <v>0</v>
      </c>
      <c r="E10" s="14" t="s">
        <v>3</v>
      </c>
      <c r="F10" s="9">
        <f>IFERROR(D10/C10,0)</f>
        <v>0</v>
      </c>
      <c r="G10" s="14" t="s">
        <v>3</v>
      </c>
      <c r="H10" s="9">
        <v>0</v>
      </c>
      <c r="I10" s="14" t="s">
        <v>3</v>
      </c>
      <c r="J10" s="9">
        <v>0</v>
      </c>
      <c r="K10" s="14" t="s">
        <v>3</v>
      </c>
      <c r="L10" s="1"/>
    </row>
    <row r="11" spans="1:12" x14ac:dyDescent="0.25">
      <c r="A11" s="1"/>
      <c r="B11" s="135" t="s">
        <v>180</v>
      </c>
      <c r="C11" s="136"/>
      <c r="D11" s="136"/>
      <c r="E11" s="137"/>
      <c r="F11" s="12">
        <f>SUM(F10:F10)</f>
        <v>0</v>
      </c>
      <c r="G11" s="82" t="s">
        <v>190</v>
      </c>
      <c r="H11" s="12">
        <f>SUM(H10:H10)</f>
        <v>0</v>
      </c>
      <c r="I11" s="82"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KvXCa2k6ZPQ3bLfsIgTJ3Ud2fkGqnFcCcpyEuFXC4+yu4xgCaIjLm3jw1eSbvjn3I7KHZ2y1KEwCW8U88xRKMQ==" saltValue="P0Z+lYanQ4PD/fRp2vLFaQ=="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70" zoomScaleNormal="100" zoomScalePageLayoutView="7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206</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89" t="s">
        <v>17</v>
      </c>
      <c r="C9" s="89" t="s">
        <v>11</v>
      </c>
      <c r="D9" s="90"/>
      <c r="E9" s="89" t="s">
        <v>29</v>
      </c>
      <c r="F9" s="95"/>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23"/>
      <c r="C14" s="21"/>
      <c r="D14" s="14" t="s">
        <v>3</v>
      </c>
      <c r="E14" s="9"/>
      <c r="F14" s="14" t="s">
        <v>3</v>
      </c>
      <c r="G14" s="1"/>
    </row>
    <row r="15" spans="1:7" x14ac:dyDescent="0.25">
      <c r="A15" s="1"/>
      <c r="B15" s="23"/>
      <c r="C15" s="21"/>
      <c r="D15" s="14" t="s">
        <v>3</v>
      </c>
      <c r="E15" s="9"/>
      <c r="F15" s="14" t="s">
        <v>3</v>
      </c>
      <c r="G15" s="1"/>
    </row>
    <row r="16" spans="1:7" x14ac:dyDescent="0.25">
      <c r="A16" s="1"/>
      <c r="B16" s="30" t="s">
        <v>173</v>
      </c>
      <c r="C16" s="12">
        <f>SUM(C10:C15)</f>
        <v>0</v>
      </c>
      <c r="D16" s="13" t="s">
        <v>3</v>
      </c>
      <c r="E16" s="12">
        <f>SUM(E10:E15)</f>
        <v>0</v>
      </c>
      <c r="F16" s="13" t="s">
        <v>3</v>
      </c>
      <c r="G16" s="1"/>
    </row>
    <row r="17" spans="1:7" x14ac:dyDescent="0.25">
      <c r="A17" s="1"/>
      <c r="B17" s="30" t="s">
        <v>261</v>
      </c>
      <c r="C17" s="12">
        <f>C16*(1+'Fane 15. Nøgletal'!C16)</f>
        <v>0</v>
      </c>
      <c r="D17" s="13" t="s">
        <v>3</v>
      </c>
      <c r="E17" s="12">
        <f>E16*(1+'Fane 15. Nøgletal'!C16)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YzYpmHhAu6piGDO8zB9vS3pCzxWyz/XYxMpXqbEr7yWe6+Ob3iYef7YCqtjhP5kbQwZ5+HaTcWHoqJ9gXiuJKA==" saltValue="/8RYPJ2BDLdJFZnGmC6wj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70" zoomScaleNormal="100" zoomScalePageLayoutView="7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80" t="s">
        <v>77</v>
      </c>
      <c r="C7" s="81"/>
      <c r="D7" s="81"/>
      <c r="E7" s="81"/>
      <c r="F7" s="82"/>
      <c r="G7" s="1"/>
    </row>
    <row r="8" spans="1:7" x14ac:dyDescent="0.25">
      <c r="A8" s="1"/>
      <c r="B8" s="89" t="s">
        <v>17</v>
      </c>
      <c r="C8" s="89" t="s">
        <v>11</v>
      </c>
      <c r="D8" s="90"/>
      <c r="E8" s="89" t="s">
        <v>29</v>
      </c>
      <c r="F8" s="95"/>
      <c r="G8" s="1"/>
    </row>
    <row r="9" spans="1:7" x14ac:dyDescent="0.25">
      <c r="A9" s="1"/>
      <c r="B9" s="23"/>
      <c r="C9" s="21"/>
      <c r="D9" s="14" t="s">
        <v>3</v>
      </c>
      <c r="E9" s="21"/>
      <c r="F9" s="14" t="s">
        <v>3</v>
      </c>
      <c r="G9" s="1"/>
    </row>
    <row r="10" spans="1:7" x14ac:dyDescent="0.25">
      <c r="A10" s="1"/>
      <c r="B10" s="23"/>
      <c r="C10" s="21"/>
      <c r="D10" s="14" t="s">
        <v>3</v>
      </c>
      <c r="E10" s="21"/>
      <c r="F10" s="14" t="s">
        <v>3</v>
      </c>
      <c r="G10" s="1"/>
    </row>
    <row r="11" spans="1:7" x14ac:dyDescent="0.25">
      <c r="A11" s="1"/>
      <c r="B11" s="30" t="s">
        <v>262</v>
      </c>
      <c r="C11" s="12">
        <f>SUM(C9:C10)</f>
        <v>0</v>
      </c>
      <c r="D11" s="13" t="s">
        <v>3</v>
      </c>
      <c r="E11" s="12">
        <f>SUM(E9:E10)</f>
        <v>0</v>
      </c>
      <c r="F11" s="13" t="s">
        <v>3</v>
      </c>
      <c r="G11" s="1"/>
    </row>
    <row r="12" spans="1:7" x14ac:dyDescent="0.25">
      <c r="A12" s="1"/>
      <c r="B12" s="30" t="s">
        <v>263</v>
      </c>
      <c r="C12" s="12">
        <f>C11*(1+'Fane 15. Nøgletal'!$C$16)^2</f>
        <v>0</v>
      </c>
      <c r="D12" s="13" t="s">
        <v>3</v>
      </c>
      <c r="E12" s="12">
        <f>E11*(1+'Fane 15. Nøgletal'!$C$16)^2</f>
        <v>0</v>
      </c>
      <c r="F12" s="13" t="s">
        <v>3</v>
      </c>
      <c r="G12" s="1"/>
    </row>
    <row r="13" spans="1:7" x14ac:dyDescent="0.25">
      <c r="A13" s="1"/>
      <c r="B13" s="1"/>
      <c r="C13" s="1"/>
      <c r="D13" s="1"/>
      <c r="E13" s="1"/>
      <c r="F13" s="1"/>
      <c r="G13" s="1"/>
    </row>
    <row r="14" spans="1:7" x14ac:dyDescent="0.25">
      <c r="A14" s="1"/>
      <c r="B14" s="92"/>
      <c r="C14" s="92"/>
      <c r="D14" s="92"/>
      <c r="E14" s="92"/>
      <c r="F14" s="92"/>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7"/>
      <c r="C21" s="167"/>
      <c r="D21" s="167"/>
      <c r="E21" s="167"/>
      <c r="F21" s="167"/>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67"/>
      <c r="C28" s="167"/>
      <c r="D28" s="167"/>
      <c r="E28" s="167"/>
      <c r="F28" s="167"/>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BbyL6i5mWbcHvSgI7jiZXrYZfv/nWjB6ep9hyMRFPx44UeCtfGSk7TwEK1YGOKVUro8S7ZpfuR5+qy/7g8ZXSw==" saltValue="cTas66eRAhZPE9SOoDWdgA=="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70" zoomScaleNormal="100" zoomScalePageLayoutView="7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208</v>
      </c>
      <c r="C3" s="120"/>
      <c r="D3" s="120"/>
      <c r="E3" s="120"/>
      <c r="F3" s="120"/>
      <c r="G3" s="1"/>
    </row>
    <row r="4" spans="1:7" ht="15" customHeight="1" x14ac:dyDescent="0.25">
      <c r="A4" s="1"/>
      <c r="B4" s="120"/>
      <c r="C4" s="120"/>
      <c r="D4" s="120"/>
      <c r="E4" s="120"/>
      <c r="F4" s="120"/>
      <c r="G4" s="1"/>
    </row>
    <row r="5" spans="1:7" x14ac:dyDescent="0.25">
      <c r="A5" s="1"/>
      <c r="B5" s="120"/>
      <c r="C5" s="120"/>
      <c r="D5" s="120"/>
      <c r="E5" s="120"/>
      <c r="F5" s="12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108</v>
      </c>
      <c r="C9" s="136"/>
      <c r="D9" s="136"/>
      <c r="E9" s="136"/>
      <c r="F9" s="137"/>
      <c r="G9" s="1"/>
    </row>
    <row r="10" spans="1:7" x14ac:dyDescent="0.25">
      <c r="A10" s="1"/>
      <c r="B10" s="161" t="s">
        <v>247</v>
      </c>
      <c r="C10" s="162"/>
      <c r="D10" s="163"/>
      <c r="E10" s="9">
        <v>0</v>
      </c>
      <c r="F10" s="14" t="s">
        <v>3</v>
      </c>
      <c r="G10" s="1"/>
    </row>
    <row r="11" spans="1:7" x14ac:dyDescent="0.25">
      <c r="A11" s="1"/>
      <c r="B11" s="168" t="s">
        <v>10</v>
      </c>
      <c r="C11" s="169"/>
      <c r="D11" s="170"/>
      <c r="E11" s="9">
        <f>-E10*'Fane 5. Individuelt eff. krav'!G9</f>
        <v>0</v>
      </c>
      <c r="F11" s="14" t="s">
        <v>3</v>
      </c>
      <c r="G11" s="1"/>
    </row>
    <row r="12" spans="1:7" x14ac:dyDescent="0.25">
      <c r="A12" s="1"/>
      <c r="B12" s="168" t="s">
        <v>24</v>
      </c>
      <c r="C12" s="169"/>
      <c r="D12" s="170"/>
      <c r="E12" s="9">
        <f>-E10*'Fane 15. Nøgletal'!C33</f>
        <v>0</v>
      </c>
      <c r="F12" s="14" t="s">
        <v>3</v>
      </c>
      <c r="G12" s="1"/>
    </row>
    <row r="13" spans="1:7" x14ac:dyDescent="0.25">
      <c r="A13" s="1"/>
      <c r="B13" s="135" t="s">
        <v>109</v>
      </c>
      <c r="C13" s="136"/>
      <c r="D13" s="137"/>
      <c r="E13" s="12">
        <f>SUM(E10:E12)*(1+'Fane 15. Nøgletal'!C16)^2</f>
        <v>0</v>
      </c>
      <c r="F13" s="13" t="s">
        <v>3</v>
      </c>
      <c r="G13" s="1"/>
    </row>
    <row r="14" spans="1:7" x14ac:dyDescent="0.25">
      <c r="A14" s="1"/>
      <c r="B14" s="1"/>
      <c r="C14" s="1"/>
      <c r="D14" s="1"/>
      <c r="E14" s="1"/>
      <c r="F14" s="1"/>
      <c r="G14" s="1"/>
    </row>
    <row r="15" spans="1:7" x14ac:dyDescent="0.25">
      <c r="A15" s="1"/>
      <c r="B15" s="135" t="s">
        <v>127</v>
      </c>
      <c r="C15" s="136"/>
      <c r="D15" s="136"/>
      <c r="E15" s="136"/>
      <c r="F15" s="137"/>
      <c r="G15" s="1"/>
    </row>
    <row r="16" spans="1:7" x14ac:dyDescent="0.25">
      <c r="A16" s="1"/>
      <c r="B16" s="161" t="s">
        <v>247</v>
      </c>
      <c r="C16" s="162"/>
      <c r="D16" s="163"/>
      <c r="E16" s="9">
        <v>0</v>
      </c>
      <c r="F16" s="14" t="s">
        <v>3</v>
      </c>
      <c r="G16" s="1"/>
    </row>
    <row r="17" spans="1:7" x14ac:dyDescent="0.25">
      <c r="A17" s="1"/>
      <c r="B17" s="168" t="s">
        <v>10</v>
      </c>
      <c r="C17" s="169"/>
      <c r="D17" s="170"/>
      <c r="E17" s="9">
        <f>-E16*'Fane 5. Individuelt eff. krav'!G9</f>
        <v>0</v>
      </c>
      <c r="F17" s="14" t="s">
        <v>3</v>
      </c>
      <c r="G17" s="1"/>
    </row>
    <row r="18" spans="1:7" x14ac:dyDescent="0.25">
      <c r="A18" s="1"/>
      <c r="B18" s="168" t="s">
        <v>24</v>
      </c>
      <c r="C18" s="169"/>
      <c r="D18" s="170"/>
      <c r="E18" s="9">
        <f>-E16*'Fane 15. Nøgletal'!C33</f>
        <v>0</v>
      </c>
      <c r="F18" s="14" t="s">
        <v>3</v>
      </c>
      <c r="G18" s="1"/>
    </row>
    <row r="19" spans="1:7" x14ac:dyDescent="0.25">
      <c r="A19" s="1"/>
      <c r="B19" s="135" t="s">
        <v>128</v>
      </c>
      <c r="C19" s="136"/>
      <c r="D19" s="137"/>
      <c r="E19" s="12">
        <f>SUM(E16:E18)*(1+'Fane 15. Nøgletal'!C16)^3</f>
        <v>0</v>
      </c>
      <c r="F19" s="13" t="s">
        <v>3</v>
      </c>
      <c r="G19" s="1"/>
    </row>
    <row r="20" spans="1:7" x14ac:dyDescent="0.25">
      <c r="A20" s="1"/>
      <c r="B20" s="1"/>
      <c r="C20" s="1"/>
      <c r="D20" s="1"/>
      <c r="E20" s="1"/>
      <c r="F20" s="1"/>
      <c r="G20" s="1"/>
    </row>
    <row r="21" spans="1:7" x14ac:dyDescent="0.25">
      <c r="A21" s="1"/>
      <c r="B21" s="135" t="s">
        <v>174</v>
      </c>
      <c r="C21" s="136"/>
      <c r="D21" s="136"/>
      <c r="E21" s="136"/>
      <c r="F21" s="137"/>
      <c r="G21" s="1"/>
    </row>
    <row r="22" spans="1:7" x14ac:dyDescent="0.25">
      <c r="A22" s="1"/>
      <c r="B22" s="161" t="s">
        <v>247</v>
      </c>
      <c r="C22" s="162"/>
      <c r="D22" s="163"/>
      <c r="E22" s="9">
        <v>0</v>
      </c>
      <c r="F22" s="14" t="s">
        <v>3</v>
      </c>
      <c r="G22" s="1"/>
    </row>
    <row r="23" spans="1:7" x14ac:dyDescent="0.25">
      <c r="A23" s="1"/>
      <c r="B23" s="168" t="s">
        <v>10</v>
      </c>
      <c r="C23" s="169"/>
      <c r="D23" s="170"/>
      <c r="E23" s="9">
        <f>-E22*'Fane 5. Individuelt eff. krav'!G9</f>
        <v>0</v>
      </c>
      <c r="F23" s="14" t="s">
        <v>3</v>
      </c>
      <c r="G23" s="1"/>
    </row>
    <row r="24" spans="1:7" x14ac:dyDescent="0.25">
      <c r="A24" s="1"/>
      <c r="B24" s="168" t="s">
        <v>24</v>
      </c>
      <c r="C24" s="169"/>
      <c r="D24" s="170"/>
      <c r="E24" s="9">
        <f>-E22*'Fane 15. Nøgletal'!C33</f>
        <v>0</v>
      </c>
      <c r="F24" s="14" t="s">
        <v>3</v>
      </c>
      <c r="G24" s="1"/>
    </row>
    <row r="25" spans="1:7" x14ac:dyDescent="0.25">
      <c r="A25" s="1"/>
      <c r="B25" s="135" t="s">
        <v>175</v>
      </c>
      <c r="C25" s="136"/>
      <c r="D25" s="137"/>
      <c r="E25" s="12">
        <f>SUM(E22:E24)*(1+'Fane 15. Nøgletal'!C16)^4</f>
        <v>0</v>
      </c>
      <c r="F25" s="13" t="s">
        <v>3</v>
      </c>
      <c r="G25" s="1"/>
    </row>
    <row r="26" spans="1:7" x14ac:dyDescent="0.25">
      <c r="A26" s="1"/>
      <c r="B26" s="1"/>
      <c r="C26" s="1"/>
      <c r="D26" s="1"/>
      <c r="E26" s="1"/>
      <c r="F26" s="1"/>
      <c r="G26" s="1"/>
    </row>
    <row r="27" spans="1:7" x14ac:dyDescent="0.25">
      <c r="A27" s="1"/>
      <c r="B27" s="135" t="s">
        <v>245</v>
      </c>
      <c r="C27" s="136"/>
      <c r="D27" s="136"/>
      <c r="E27" s="136"/>
      <c r="F27" s="137"/>
      <c r="G27" s="1"/>
    </row>
    <row r="28" spans="1:7" x14ac:dyDescent="0.25">
      <c r="A28" s="1"/>
      <c r="B28" s="161" t="s">
        <v>247</v>
      </c>
      <c r="C28" s="162"/>
      <c r="D28" s="163"/>
      <c r="E28" s="9">
        <v>0</v>
      </c>
      <c r="F28" s="14" t="s">
        <v>3</v>
      </c>
      <c r="G28" s="1"/>
    </row>
    <row r="29" spans="1:7" x14ac:dyDescent="0.25">
      <c r="A29" s="1"/>
      <c r="B29" s="168" t="s">
        <v>10</v>
      </c>
      <c r="C29" s="169"/>
      <c r="D29" s="170"/>
      <c r="E29" s="9">
        <f>-E28*'Fane 5. Individuelt eff. krav'!G9</f>
        <v>0</v>
      </c>
      <c r="F29" s="14" t="s">
        <v>3</v>
      </c>
      <c r="G29" s="1"/>
    </row>
    <row r="30" spans="1:7" x14ac:dyDescent="0.25">
      <c r="A30" s="1"/>
      <c r="B30" s="168" t="s">
        <v>24</v>
      </c>
      <c r="C30" s="169"/>
      <c r="D30" s="170"/>
      <c r="E30" s="9">
        <f>-E28*'Fane 15. Nøgletal'!C33</f>
        <v>0</v>
      </c>
      <c r="F30" s="14" t="s">
        <v>3</v>
      </c>
      <c r="G30" s="1"/>
    </row>
    <row r="31" spans="1:7" x14ac:dyDescent="0.25">
      <c r="A31" s="1"/>
      <c r="B31" s="135" t="s">
        <v>246</v>
      </c>
      <c r="C31" s="136"/>
      <c r="D31" s="137"/>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ZdI8cgZU0Ft8MxedqzPbVbbnB+/pPMChxIDUkjW7bXozraMl9L28Q05MQ9/fGRJ2V2EPqUPK0IjLn7RqyApZ6Q==" saltValue="2T8Pm5rVqMSius4N0zzHEQ=="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70" zoomScaleNormal="100" zoomScalePageLayoutView="7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209</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110</v>
      </c>
      <c r="C8" s="136"/>
      <c r="D8" s="136"/>
      <c r="E8" s="136"/>
      <c r="F8" s="137"/>
      <c r="G8" s="1"/>
    </row>
    <row r="9" spans="1:7" ht="15" customHeight="1" x14ac:dyDescent="0.25">
      <c r="A9" s="1"/>
      <c r="B9" s="94" t="s">
        <v>111</v>
      </c>
      <c r="C9" s="158" t="s">
        <v>11</v>
      </c>
      <c r="D9" s="160"/>
      <c r="E9" s="171" t="s">
        <v>29</v>
      </c>
      <c r="F9" s="172"/>
      <c r="G9" s="1"/>
    </row>
    <row r="10" spans="1:7" ht="26.25" x14ac:dyDescent="0.25">
      <c r="A10" s="1"/>
      <c r="B10" s="69"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2FrgMuvt6xKvKMp6evFtJ+1552T4ihebCK+saYZNyKurSuA6O6ftrdhNOrpQZ3ml8DFHC/LZ/aPt/jvRtxNmbg==" saltValue="33aIZHTLfwsjx6xGb5Oc3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55" zoomScaleNormal="100" zoomScalePageLayoutView="55"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210</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265</v>
      </c>
      <c r="C9" s="136"/>
      <c r="D9" s="136"/>
      <c r="E9" s="136"/>
      <c r="F9" s="137"/>
      <c r="G9" s="1"/>
    </row>
    <row r="10" spans="1:7" ht="26.25" x14ac:dyDescent="0.25">
      <c r="A10" s="1"/>
      <c r="B10" s="94" t="s">
        <v>18</v>
      </c>
      <c r="C10" s="94" t="s">
        <v>11</v>
      </c>
      <c r="D10" s="95"/>
      <c r="E10" s="94" t="s">
        <v>29</v>
      </c>
      <c r="F10" s="95"/>
      <c r="G10" s="1"/>
    </row>
    <row r="11" spans="1:7" x14ac:dyDescent="0.25">
      <c r="A11" s="1"/>
      <c r="B11" s="69"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7"/>
      <c r="C15" s="167"/>
      <c r="D15" s="167"/>
      <c r="E15" s="167"/>
      <c r="F15" s="167"/>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7"/>
      <c r="C21" s="167"/>
      <c r="D21" s="167"/>
      <c r="E21" s="167"/>
      <c r="F21" s="167"/>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7"/>
      <c r="C27" s="167"/>
      <c r="D27" s="167"/>
      <c r="E27" s="167"/>
      <c r="F27" s="167"/>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vKLC0pibNUvtoHgthAph/BhiDvVrPmC9B0O23903nRZeG8Hqx6ewoFDO02kQSvbsrzXPSrhGDQGpBrtQ0yCMJA==" saltValue="4dToDIyLzjoGRR089YyEq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55" zoomScaleNormal="100" zoomScalePageLayoutView="55"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4" t="s">
        <v>244</v>
      </c>
      <c r="C3" s="114"/>
      <c r="D3" s="114"/>
      <c r="E3" s="1"/>
    </row>
    <row r="4" spans="1:5" ht="15" customHeight="1"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7" t="s">
        <v>106</v>
      </c>
      <c r="C9" s="7">
        <f>'Fane 3. Omkostninger i ØR2023'!C22</f>
        <v>31692877.132947702</v>
      </c>
      <c r="D9" s="8" t="s">
        <v>3</v>
      </c>
      <c r="E9" s="1"/>
    </row>
    <row r="10" spans="1:5" ht="17.25" customHeight="1" x14ac:dyDescent="0.25">
      <c r="A10" s="1"/>
      <c r="B10" s="93" t="s">
        <v>37</v>
      </c>
      <c r="C10" s="36">
        <f>'Fane 11.1. Varige tillæg'!C17</f>
        <v>0</v>
      </c>
      <c r="D10" s="8" t="s">
        <v>3</v>
      </c>
      <c r="E10" s="1"/>
    </row>
    <row r="11" spans="1:5" ht="17.25" customHeight="1" x14ac:dyDescent="0.25">
      <c r="A11" s="1"/>
      <c r="B11" s="93" t="s">
        <v>38</v>
      </c>
      <c r="C11" s="36">
        <f>'Fane 11.1. Varige tillæg'!E17</f>
        <v>0</v>
      </c>
      <c r="D11" s="8" t="s">
        <v>3</v>
      </c>
      <c r="E11" s="1"/>
    </row>
    <row r="12" spans="1:5" ht="17.25" customHeight="1" x14ac:dyDescent="0.25">
      <c r="A12" s="1"/>
      <c r="B12" s="93" t="s">
        <v>27</v>
      </c>
      <c r="C12" s="9">
        <f>-'Fane 14. Bortfald'!C13</f>
        <v>0</v>
      </c>
      <c r="D12" s="8" t="s">
        <v>3</v>
      </c>
      <c r="E12" s="1"/>
    </row>
    <row r="13" spans="1:5" ht="17.25" customHeight="1" x14ac:dyDescent="0.25">
      <c r="A13" s="1"/>
      <c r="B13" s="93" t="s">
        <v>26</v>
      </c>
      <c r="C13" s="9">
        <f>-'Fane 14. Bortfald'!E13</f>
        <v>0</v>
      </c>
      <c r="D13" s="8" t="s">
        <v>3</v>
      </c>
      <c r="E13" s="1"/>
    </row>
    <row r="14" spans="1:5" ht="17.25" customHeight="1" x14ac:dyDescent="0.25">
      <c r="A14" s="1"/>
      <c r="B14" s="93" t="s">
        <v>104</v>
      </c>
      <c r="C14" s="9">
        <f>'Fane 13. Tilknyttet virksomhed'!C13</f>
        <v>0</v>
      </c>
      <c r="D14" s="8" t="s">
        <v>3</v>
      </c>
      <c r="E14" s="1"/>
    </row>
    <row r="15" spans="1:5" ht="17.25" customHeight="1" x14ac:dyDescent="0.25">
      <c r="A15" s="1"/>
      <c r="B15" s="93" t="s">
        <v>105</v>
      </c>
      <c r="C15" s="9">
        <f>'Fane 13. Tilknyttet virksomhed'!E13</f>
        <v>0</v>
      </c>
      <c r="D15" s="8" t="s">
        <v>3</v>
      </c>
      <c r="E15" s="1"/>
    </row>
    <row r="16" spans="1:5" ht="17.25" customHeight="1" x14ac:dyDescent="0.25">
      <c r="A16" s="1"/>
      <c r="B16" s="93" t="s">
        <v>19</v>
      </c>
      <c r="C16" s="9">
        <f>SUM(C9:C15)*'Fane 15. Nøgletal'!C16</f>
        <v>2560784.472342174</v>
      </c>
      <c r="D16" s="8" t="s">
        <v>3</v>
      </c>
      <c r="E16" s="1"/>
    </row>
    <row r="17" spans="1:5" ht="17.25" customHeight="1" x14ac:dyDescent="0.25">
      <c r="A17" s="1"/>
      <c r="B17" s="93" t="s">
        <v>10</v>
      </c>
      <c r="C17" s="9">
        <f>-SUM(C9,C10:C16)*'Fane 5. Individuelt eff. krav'!G9</f>
        <v>0</v>
      </c>
      <c r="D17" s="8" t="s">
        <v>3</v>
      </c>
      <c r="E17" s="1"/>
    </row>
    <row r="18" spans="1:5" ht="17.25" customHeight="1" x14ac:dyDescent="0.25">
      <c r="A18" s="1"/>
      <c r="B18" s="93" t="s">
        <v>24</v>
      </c>
      <c r="C18" s="9">
        <f>-'Fane 4.1. Gen. krav - drift'!G55</f>
        <v>-243176.27829532642</v>
      </c>
      <c r="D18" s="8" t="s">
        <v>3</v>
      </c>
      <c r="E18" s="38"/>
    </row>
    <row r="19" spans="1:5" ht="15" customHeight="1" x14ac:dyDescent="0.25">
      <c r="A19" s="1"/>
      <c r="B19" s="93" t="s">
        <v>25</v>
      </c>
      <c r="C19" s="9">
        <f>-'Fane 4.2. Gen. krav - anlæg'!G53</f>
        <v>0</v>
      </c>
      <c r="D19" s="8" t="s">
        <v>3</v>
      </c>
      <c r="E19" s="1"/>
    </row>
    <row r="20" spans="1:5" ht="15" customHeight="1" x14ac:dyDescent="0.25">
      <c r="A20" s="1"/>
      <c r="B20" s="86" t="s">
        <v>21</v>
      </c>
      <c r="C20" s="10">
        <f>SUM(C9:C19)</f>
        <v>34010485.326994553</v>
      </c>
      <c r="D20" s="11" t="s">
        <v>3</v>
      </c>
      <c r="E20" s="1"/>
    </row>
    <row r="21" spans="1:5" ht="15" customHeight="1" x14ac:dyDescent="0.25">
      <c r="A21" s="1"/>
      <c r="B21" s="30" t="s">
        <v>12</v>
      </c>
      <c r="C21" s="31"/>
      <c r="D21" s="19"/>
      <c r="E21" s="1"/>
    </row>
    <row r="22" spans="1:5" ht="15" customHeight="1" x14ac:dyDescent="0.25">
      <c r="A22" s="1"/>
      <c r="B22" s="94" t="s">
        <v>12</v>
      </c>
      <c r="C22" s="10">
        <f>'Fane 6. Ikke-påvirkelige omk.'!C16+'Fane 6. Ikke-påvirkelige omk.'!C20+'Fane 6. Ikke-påvirkelige omk.'!C28</f>
        <v>955874.99359743996</v>
      </c>
      <c r="D22" s="11" t="s">
        <v>3</v>
      </c>
      <c r="E22" s="1"/>
    </row>
    <row r="23" spans="1:5" ht="15" customHeight="1" x14ac:dyDescent="0.25">
      <c r="A23" s="1"/>
      <c r="B23" s="30" t="s">
        <v>70</v>
      </c>
      <c r="C23" s="31"/>
      <c r="D23" s="19"/>
      <c r="E23" s="1"/>
    </row>
    <row r="24" spans="1:5" ht="15" customHeight="1" x14ac:dyDescent="0.25">
      <c r="A24" s="1"/>
      <c r="B24" s="86" t="s">
        <v>70</v>
      </c>
      <c r="C24" s="10">
        <f>'Fane 12. Periodevise driftsomk.'!E13</f>
        <v>0</v>
      </c>
      <c r="D24" s="11" t="s">
        <v>3</v>
      </c>
      <c r="E24" s="1"/>
    </row>
    <row r="25" spans="1:5" ht="15" customHeight="1" x14ac:dyDescent="0.25">
      <c r="A25" s="1"/>
      <c r="B25" s="30" t="s">
        <v>69</v>
      </c>
      <c r="C25" s="31"/>
      <c r="D25" s="19"/>
      <c r="E25" s="1"/>
    </row>
    <row r="26" spans="1:5" x14ac:dyDescent="0.25">
      <c r="A26" s="1"/>
      <c r="B26" s="93" t="s">
        <v>65</v>
      </c>
      <c r="C26" s="9">
        <f>'Fane 11.2. Engangstillæg'!C12</f>
        <v>0</v>
      </c>
      <c r="D26" s="8" t="s">
        <v>3</v>
      </c>
      <c r="E26" s="1"/>
    </row>
    <row r="27" spans="1:5" ht="15" customHeight="1" x14ac:dyDescent="0.25">
      <c r="A27" s="1"/>
      <c r="B27" s="93" t="s">
        <v>66</v>
      </c>
      <c r="C27" s="9">
        <f>'Fane 11.2. Engangstillæg'!E12</f>
        <v>0</v>
      </c>
      <c r="D27" s="8" t="s">
        <v>3</v>
      </c>
      <c r="E27" s="1"/>
    </row>
    <row r="28" spans="1:5" ht="15" customHeight="1" x14ac:dyDescent="0.25">
      <c r="A28" s="1"/>
      <c r="B28" s="93" t="s">
        <v>185</v>
      </c>
      <c r="C28" s="9">
        <f>-C26*('Fane 15. Nøgletal'!C33+'Fane 5. Individuelt eff. krav'!G9)</f>
        <v>0</v>
      </c>
      <c r="D28" s="8" t="s">
        <v>3</v>
      </c>
      <c r="E28" s="1"/>
    </row>
    <row r="29" spans="1:5" ht="15" customHeight="1" x14ac:dyDescent="0.25">
      <c r="A29" s="1"/>
      <c r="B29" s="37" t="s">
        <v>186</v>
      </c>
      <c r="C29" s="9">
        <f>-C27*('Fane 15. Nøgletal'!C28+'Fane 5. Individuelt eff. krav'!G9)</f>
        <v>0</v>
      </c>
      <c r="D29" s="8" t="s">
        <v>3</v>
      </c>
      <c r="E29" s="1"/>
    </row>
    <row r="30" spans="1:5" x14ac:dyDescent="0.25">
      <c r="A30" s="1"/>
      <c r="B30" s="86" t="s">
        <v>71</v>
      </c>
      <c r="C30" s="10">
        <f>SUM(C26:C29)</f>
        <v>0</v>
      </c>
      <c r="D30" s="11" t="s">
        <v>3</v>
      </c>
      <c r="E30" s="1"/>
    </row>
    <row r="31" spans="1:5" x14ac:dyDescent="0.25">
      <c r="A31" s="1"/>
      <c r="B31" s="30" t="s">
        <v>222</v>
      </c>
      <c r="C31" s="31"/>
      <c r="D31" s="19"/>
      <c r="E31" s="1"/>
    </row>
    <row r="32" spans="1:5" x14ac:dyDescent="0.25">
      <c r="A32" s="1"/>
      <c r="B32" s="94" t="s">
        <v>222</v>
      </c>
      <c r="C32" s="10">
        <f>'Fane 9. Korrektion af ØR2022'!E17</f>
        <v>0</v>
      </c>
      <c r="D32" s="11" t="s">
        <v>3</v>
      </c>
      <c r="E32" s="1"/>
    </row>
    <row r="33" spans="1:5" x14ac:dyDescent="0.25">
      <c r="A33" s="1"/>
      <c r="B33" s="30" t="s">
        <v>119</v>
      </c>
      <c r="C33" s="31"/>
      <c r="D33" s="19"/>
      <c r="E33" s="1"/>
    </row>
    <row r="34" spans="1:5" x14ac:dyDescent="0.25">
      <c r="A34" s="1"/>
      <c r="B34" s="94" t="s">
        <v>163</v>
      </c>
      <c r="C34" s="10">
        <f>'Fane 7. Kontrol af ØR2022'!E32</f>
        <v>0</v>
      </c>
      <c r="D34" s="11" t="s">
        <v>3</v>
      </c>
      <c r="E34" s="1"/>
    </row>
    <row r="35" spans="1:5" ht="26.25" customHeight="1" x14ac:dyDescent="0.25">
      <c r="A35" s="1"/>
      <c r="B35" s="115" t="s">
        <v>155</v>
      </c>
      <c r="C35" s="116"/>
      <c r="D35" s="117"/>
      <c r="E35" s="1"/>
    </row>
    <row r="36" spans="1:5" x14ac:dyDescent="0.25">
      <c r="A36" s="1"/>
      <c r="B36" s="68" t="s">
        <v>156</v>
      </c>
      <c r="C36" s="10">
        <f>'Fane 8. Skattesagen'!G13</f>
        <v>0</v>
      </c>
      <c r="D36" s="11" t="s">
        <v>3</v>
      </c>
      <c r="E36" s="1"/>
    </row>
    <row r="37" spans="1:5" x14ac:dyDescent="0.25">
      <c r="A37" s="1"/>
      <c r="B37" s="30" t="s">
        <v>107</v>
      </c>
      <c r="C37" s="12">
        <f>SUM(C20,C22,C24,C30,C32,C34,C36)</f>
        <v>34966360.320591994</v>
      </c>
      <c r="D37" s="13"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39"/>
      <c r="B48" s="39"/>
      <c r="C48" s="39"/>
      <c r="D48" s="39"/>
      <c r="E48" s="39"/>
    </row>
  </sheetData>
  <sheetProtection algorithmName="SHA-512" hashValue="otTc429maLo1rhrI6qkbX4yuTy0XSe2J6IBZE/dX/O0DTIbud8oe8e5mnRgXajpgljMiEDNWl8nm+5GkSagAZA==" saltValue="Z6fYC67IlI4IlK9BU6SxPw=="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70" zoomScaleNormal="100" zoomScalePageLayoutView="70"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0" t="s">
        <v>211</v>
      </c>
      <c r="C3" s="120"/>
      <c r="D3" s="1"/>
    </row>
    <row r="4" spans="1:4" ht="25.5" customHeight="1" x14ac:dyDescent="0.25">
      <c r="A4" s="1"/>
      <c r="B4" s="120"/>
      <c r="C4" s="12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5">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7vQwtOM68IayFLVCOGjxzWGaxX2k4iIe7zdZhYqyOEAXT8oohjAcH0Wq3rP+HRUxRGMDphu3aPokiDx8vu3XhQ==" saltValue="DHTp+JxIe7/qomugB+vdd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view="pageLayout" zoomScale="70" zoomScaleNormal="100" zoomScalePageLayoutView="7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4" t="s">
        <v>224</v>
      </c>
      <c r="C3" s="114"/>
      <c r="D3" s="114"/>
      <c r="E3" s="1"/>
    </row>
    <row r="4" spans="1:5" ht="15" customHeight="1" x14ac:dyDescent="0.25">
      <c r="A4" s="1"/>
      <c r="B4" s="114"/>
      <c r="C4" s="114"/>
      <c r="D4" s="114"/>
      <c r="E4" s="1"/>
    </row>
    <row r="5" spans="1:5" x14ac:dyDescent="0.25">
      <c r="A5" s="1"/>
      <c r="B5" s="118"/>
      <c r="C5" s="118"/>
      <c r="D5" s="118"/>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7" t="s">
        <v>122</v>
      </c>
      <c r="C9" s="7">
        <f>'Fane 2.1. Økonomisk ramme 2024'!C20</f>
        <v>34010485.326994553</v>
      </c>
      <c r="D9" s="8" t="s">
        <v>3</v>
      </c>
      <c r="E9" s="1"/>
    </row>
    <row r="10" spans="1:5" ht="15" customHeight="1" x14ac:dyDescent="0.25">
      <c r="A10" s="1"/>
      <c r="B10" s="66" t="s">
        <v>19</v>
      </c>
      <c r="C10" s="7">
        <f>SUM(C9:C9)*'Fane 15. Nøgletal'!C16</f>
        <v>2748047.2144211596</v>
      </c>
      <c r="D10" s="8" t="s">
        <v>3</v>
      </c>
      <c r="E10" s="1"/>
    </row>
    <row r="11" spans="1:5" ht="15" customHeight="1" x14ac:dyDescent="0.25">
      <c r="A11" s="1"/>
      <c r="B11" s="66" t="s">
        <v>10</v>
      </c>
      <c r="C11" s="9">
        <f>-SUM(C9:C10)*'Fane 5. Individuelt eff. krav'!G9</f>
        <v>0</v>
      </c>
      <c r="D11" s="8" t="s">
        <v>3</v>
      </c>
      <c r="E11" s="1"/>
    </row>
    <row r="12" spans="1:5" ht="15" customHeight="1" x14ac:dyDescent="0.25">
      <c r="A12" s="1"/>
      <c r="B12" s="66" t="s">
        <v>24</v>
      </c>
      <c r="C12" s="9">
        <f>-'Fane 4.1. Gen. krav - drift'!G60</f>
        <v>-257568.423149957</v>
      </c>
      <c r="D12" s="8" t="s">
        <v>3</v>
      </c>
      <c r="E12" s="1"/>
    </row>
    <row r="13" spans="1:5" ht="15" customHeight="1" x14ac:dyDescent="0.25">
      <c r="A13" s="1"/>
      <c r="B13" s="66" t="s">
        <v>25</v>
      </c>
      <c r="C13" s="9">
        <f>-'Fane 4.2. Gen. krav - anlæg'!G58</f>
        <v>0</v>
      </c>
      <c r="D13" s="8" t="s">
        <v>3</v>
      </c>
      <c r="E13" s="1"/>
    </row>
    <row r="14" spans="1:5" ht="15" customHeight="1" x14ac:dyDescent="0.25">
      <c r="A14" s="1"/>
      <c r="B14" s="33" t="s">
        <v>21</v>
      </c>
      <c r="C14" s="10">
        <f>SUM(C9:C13)</f>
        <v>36500964.118265755</v>
      </c>
      <c r="D14" s="11" t="s">
        <v>3</v>
      </c>
      <c r="E14" s="1"/>
    </row>
    <row r="15" spans="1:5" ht="15" customHeight="1" x14ac:dyDescent="0.25">
      <c r="A15" s="1"/>
      <c r="B15" s="30" t="s">
        <v>12</v>
      </c>
      <c r="C15" s="31"/>
      <c r="D15" s="19"/>
      <c r="E15" s="1"/>
    </row>
    <row r="16" spans="1:5" ht="15" customHeight="1" x14ac:dyDescent="0.25">
      <c r="A16" s="1"/>
      <c r="B16" s="94" t="s">
        <v>12</v>
      </c>
      <c r="C16" s="10">
        <f>'Fane 6. Ikke-påvirkelige omk.'!C16*(1+'Fane 15. Nøgletal'!C16)+'Fane 6. Ikke-påvirkelige omk.'!C21+'Fane 6. Ikke-påvirkelige omk.'!C29</f>
        <v>1033109.693080113</v>
      </c>
      <c r="D16" s="11" t="s">
        <v>3</v>
      </c>
      <c r="E16" s="1"/>
    </row>
    <row r="17" spans="1:5" ht="15" customHeight="1" x14ac:dyDescent="0.25">
      <c r="A17" s="1"/>
      <c r="B17" s="30" t="s">
        <v>70</v>
      </c>
      <c r="C17" s="31"/>
      <c r="D17" s="19"/>
      <c r="E17" s="1"/>
    </row>
    <row r="18" spans="1:5" ht="15" customHeight="1" x14ac:dyDescent="0.25">
      <c r="A18" s="1"/>
      <c r="B18" s="86"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4" t="s">
        <v>163</v>
      </c>
      <c r="C20" s="10">
        <f>'Fane 7. Kontrol af ØR2022'!E32</f>
        <v>0</v>
      </c>
      <c r="D20" s="11" t="s">
        <v>3</v>
      </c>
      <c r="E20" s="1"/>
    </row>
    <row r="21" spans="1:5" x14ac:dyDescent="0.25">
      <c r="A21" s="1"/>
      <c r="B21" s="32" t="s">
        <v>155</v>
      </c>
      <c r="C21" s="31"/>
      <c r="D21" s="19"/>
      <c r="E21" s="1"/>
    </row>
    <row r="22" spans="1:5" x14ac:dyDescent="0.25">
      <c r="A22" s="1"/>
      <c r="B22" s="68" t="s">
        <v>156</v>
      </c>
      <c r="C22" s="10">
        <f>'Fane 8. Skattesagen'!G14</f>
        <v>0</v>
      </c>
      <c r="D22" s="11" t="s">
        <v>3</v>
      </c>
      <c r="E22" s="1"/>
    </row>
    <row r="23" spans="1:5" ht="15" customHeight="1" x14ac:dyDescent="0.25">
      <c r="A23" s="1"/>
      <c r="B23" s="30" t="s">
        <v>123</v>
      </c>
      <c r="C23" s="12">
        <f>SUM(C14,C16,C18,C20,C22)</f>
        <v>37534073.811345868</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hnNvLHfuUratt3mGIiM++XwyV+rYWnRE573Z9NaDQ1tLhOc5Nmno+tyH24Ux9vDE/788AQXiuzXfDvpxW1kgA==" saltValue="4XcJP9xGvUcrfMTYaID0F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70" zoomScaleNormal="100" zoomScalePageLayoutView="70"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4" t="s">
        <v>249</v>
      </c>
      <c r="C3" s="114"/>
      <c r="D3" s="114"/>
      <c r="E3" s="1"/>
    </row>
    <row r="4" spans="1:5" ht="15" customHeight="1" x14ac:dyDescent="0.25">
      <c r="A4" s="1"/>
      <c r="B4" s="114"/>
      <c r="C4" s="114"/>
      <c r="D4" s="114"/>
      <c r="E4" s="1"/>
    </row>
    <row r="5" spans="1:5" x14ac:dyDescent="0.25">
      <c r="A5" s="1"/>
      <c r="B5" s="118" t="s">
        <v>22</v>
      </c>
      <c r="C5" s="118"/>
      <c r="D5" s="118"/>
      <c r="E5" s="1"/>
    </row>
    <row r="6" spans="1:5" x14ac:dyDescent="0.25">
      <c r="A6" s="1"/>
      <c r="B6" s="1"/>
      <c r="C6" s="1"/>
      <c r="D6" s="1"/>
      <c r="E6" s="1"/>
    </row>
    <row r="7" spans="1:5" x14ac:dyDescent="0.25">
      <c r="A7" s="1"/>
      <c r="B7" s="30" t="s">
        <v>13</v>
      </c>
      <c r="C7" s="31"/>
      <c r="D7" s="19"/>
      <c r="E7" s="1"/>
    </row>
    <row r="8" spans="1:5" ht="15" customHeight="1" x14ac:dyDescent="0.25">
      <c r="A8" s="1"/>
      <c r="B8" s="67" t="s">
        <v>164</v>
      </c>
      <c r="C8" s="7">
        <f>'Fane 2.2. Økonomisk ramme 2025'!C14</f>
        <v>36500964.118265755</v>
      </c>
      <c r="D8" s="8" t="s">
        <v>3</v>
      </c>
      <c r="E8" s="1"/>
    </row>
    <row r="9" spans="1:5" ht="15" customHeight="1" x14ac:dyDescent="0.25">
      <c r="A9" s="1"/>
      <c r="B9" s="66" t="s">
        <v>19</v>
      </c>
      <c r="C9" s="40">
        <f>SUM(C8:C8)*'Fane 15. Nøgletal'!C16</f>
        <v>2949277.9007558729</v>
      </c>
      <c r="D9" s="8" t="s">
        <v>3</v>
      </c>
      <c r="E9" s="1"/>
    </row>
    <row r="10" spans="1:5" ht="15" customHeight="1" x14ac:dyDescent="0.25">
      <c r="A10" s="1"/>
      <c r="B10" s="66" t="s">
        <v>10</v>
      </c>
      <c r="C10" s="9">
        <f>-SUM(C8:C9)*'Fane 5. Individuelt eff. krav'!G9</f>
        <v>0</v>
      </c>
      <c r="D10" s="8" t="s">
        <v>3</v>
      </c>
      <c r="E10" s="1"/>
    </row>
    <row r="11" spans="1:5" ht="15" customHeight="1" x14ac:dyDescent="0.25">
      <c r="A11" s="1"/>
      <c r="B11" s="66" t="s">
        <v>24</v>
      </c>
      <c r="C11" s="9">
        <f>-'Fane 4.1. Gen. krav - drift'!G65</f>
        <v>-272812.35270566406</v>
      </c>
      <c r="D11" s="8" t="s">
        <v>3</v>
      </c>
      <c r="E11" s="1"/>
    </row>
    <row r="12" spans="1:5" ht="15" customHeight="1" x14ac:dyDescent="0.25">
      <c r="A12" s="1"/>
      <c r="B12" s="66" t="s">
        <v>25</v>
      </c>
      <c r="C12" s="9">
        <f>-'Fane 4.2. Gen. krav - anlæg'!G63</f>
        <v>0</v>
      </c>
      <c r="D12" s="8" t="s">
        <v>3</v>
      </c>
      <c r="E12" s="1"/>
    </row>
    <row r="13" spans="1:5" ht="15.75" customHeight="1" x14ac:dyDescent="0.25">
      <c r="A13" s="1"/>
      <c r="B13" s="33" t="s">
        <v>21</v>
      </c>
      <c r="C13" s="10">
        <f>SUM(C8:C12)</f>
        <v>39177429.666315965</v>
      </c>
      <c r="D13" s="11" t="s">
        <v>3</v>
      </c>
      <c r="E13" s="1"/>
    </row>
    <row r="14" spans="1:5" x14ac:dyDescent="0.25">
      <c r="A14" s="1"/>
      <c r="B14" s="30" t="s">
        <v>12</v>
      </c>
      <c r="C14" s="31"/>
      <c r="D14" s="19"/>
      <c r="E14" s="1"/>
    </row>
    <row r="15" spans="1:5" ht="15" customHeight="1" x14ac:dyDescent="0.25">
      <c r="A15" s="1"/>
      <c r="B15" s="94" t="s">
        <v>12</v>
      </c>
      <c r="C15" s="10">
        <f>'Fane 6. Ikke-påvirkelige omk.'!C16*(1+'Fane 15. Nøgletal'!C16)^2+'Fane 6. Ikke-påvirkelige omk.'!C22+'Fane 6. Ikke-påvirkelige omk.'!C30</f>
        <v>1116584.9562809861</v>
      </c>
      <c r="D15" s="11" t="s">
        <v>3</v>
      </c>
      <c r="E15" s="1"/>
    </row>
    <row r="16" spans="1:5" ht="15" customHeight="1" x14ac:dyDescent="0.25">
      <c r="A16" s="1"/>
      <c r="B16" s="30" t="s">
        <v>70</v>
      </c>
      <c r="C16" s="31"/>
      <c r="D16" s="19"/>
      <c r="E16" s="1"/>
    </row>
    <row r="17" spans="1:5" ht="15" customHeight="1" x14ac:dyDescent="0.25">
      <c r="A17" s="1"/>
      <c r="B17" s="86"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4" t="s">
        <v>163</v>
      </c>
      <c r="C19" s="10">
        <v>0</v>
      </c>
      <c r="D19" s="11" t="s">
        <v>3</v>
      </c>
      <c r="E19" s="1"/>
    </row>
    <row r="20" spans="1:5" x14ac:dyDescent="0.25">
      <c r="A20" s="1"/>
      <c r="B20" s="32" t="s">
        <v>155</v>
      </c>
      <c r="C20" s="31"/>
      <c r="D20" s="19"/>
      <c r="E20" s="1"/>
    </row>
    <row r="21" spans="1:5" x14ac:dyDescent="0.25">
      <c r="A21" s="1"/>
      <c r="B21" s="68" t="s">
        <v>156</v>
      </c>
      <c r="C21" s="10">
        <f>'Fane 8. Skattesagen'!G15</f>
        <v>0</v>
      </c>
      <c r="D21" s="11" t="s">
        <v>3</v>
      </c>
      <c r="E21" s="1"/>
    </row>
    <row r="22" spans="1:5" x14ac:dyDescent="0.25">
      <c r="A22" s="1"/>
      <c r="B22" s="30" t="s">
        <v>165</v>
      </c>
      <c r="C22" s="12">
        <f>SUM(C13,C15,C17,C19,C21)</f>
        <v>40294014.622596949</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ZfPZmliptLiowC+ZcD6UsHsS37JvpgBzFQZ7kX9v7wBGQ8jAoh2hzZiA4NGjE81nWPUh682CewV3fJr5WCWLA==" saltValue="B9VJKPVIuzBecGd7XSIlg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view="pageLayout" zoomScale="85" zoomScaleNormal="100" zoomScalePageLayoutView="85"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4" t="s">
        <v>248</v>
      </c>
      <c r="C3" s="114"/>
      <c r="D3" s="114"/>
      <c r="E3" s="1"/>
    </row>
    <row r="4" spans="1:5" ht="15" customHeight="1" x14ac:dyDescent="0.25">
      <c r="A4" s="1"/>
      <c r="B4" s="114"/>
      <c r="C4" s="114"/>
      <c r="D4" s="114"/>
      <c r="E4" s="1"/>
    </row>
    <row r="5" spans="1:5" x14ac:dyDescent="0.25">
      <c r="A5" s="1"/>
      <c r="B5" s="118" t="s">
        <v>22</v>
      </c>
      <c r="C5" s="118"/>
      <c r="D5" s="118"/>
      <c r="E5" s="1"/>
    </row>
    <row r="6" spans="1:5" x14ac:dyDescent="0.25">
      <c r="A6" s="1"/>
      <c r="B6" s="1"/>
      <c r="C6" s="1"/>
      <c r="D6" s="1"/>
      <c r="E6" s="1"/>
    </row>
    <row r="7" spans="1:5" x14ac:dyDescent="0.25">
      <c r="A7" s="1"/>
      <c r="B7" s="30" t="s">
        <v>13</v>
      </c>
      <c r="C7" s="31"/>
      <c r="D7" s="19"/>
      <c r="E7" s="1"/>
    </row>
    <row r="8" spans="1:5" ht="15" customHeight="1" x14ac:dyDescent="0.25">
      <c r="A8" s="1"/>
      <c r="B8" s="67" t="s">
        <v>251</v>
      </c>
      <c r="C8" s="7">
        <f>'Fane 2.3. Økonomisk ramme 2026'!C13</f>
        <v>39177429.666315965</v>
      </c>
      <c r="D8" s="8" t="s">
        <v>3</v>
      </c>
      <c r="E8" s="1"/>
    </row>
    <row r="9" spans="1:5" ht="15" customHeight="1" x14ac:dyDescent="0.25">
      <c r="A9" s="1"/>
      <c r="B9" s="66" t="s">
        <v>19</v>
      </c>
      <c r="C9" s="40">
        <f>SUM(C8:C8)*'Fane 15. Nøgletal'!C16</f>
        <v>3165536.3170383298</v>
      </c>
      <c r="D9" s="8" t="s">
        <v>3</v>
      </c>
      <c r="E9" s="1"/>
    </row>
    <row r="10" spans="1:5" ht="15" customHeight="1" x14ac:dyDescent="0.25">
      <c r="A10" s="1"/>
      <c r="B10" s="66" t="s">
        <v>10</v>
      </c>
      <c r="C10" s="9">
        <f>-SUM(C8:C9)*'Fane 5. Individuelt eff. krav'!G9</f>
        <v>0</v>
      </c>
      <c r="D10" s="8" t="s">
        <v>3</v>
      </c>
      <c r="E10" s="1"/>
    </row>
    <row r="11" spans="1:5" ht="15" customHeight="1" x14ac:dyDescent="0.25">
      <c r="A11" s="1"/>
      <c r="B11" s="66" t="s">
        <v>24</v>
      </c>
      <c r="C11" s="9">
        <f>-'Fane 4.1. Gen. krav - drift'!G70</f>
        <v>-288958.47898819606</v>
      </c>
      <c r="D11" s="8" t="s">
        <v>3</v>
      </c>
      <c r="E11" s="1"/>
    </row>
    <row r="12" spans="1:5" ht="15" customHeight="1" x14ac:dyDescent="0.25">
      <c r="A12" s="1"/>
      <c r="B12" s="66" t="s">
        <v>25</v>
      </c>
      <c r="C12" s="9">
        <f>-'Fane 4.2. Gen. krav - anlæg'!G68</f>
        <v>0</v>
      </c>
      <c r="D12" s="8" t="s">
        <v>3</v>
      </c>
      <c r="E12" s="1"/>
    </row>
    <row r="13" spans="1:5" ht="15.75" customHeight="1" x14ac:dyDescent="0.25">
      <c r="A13" s="1"/>
      <c r="B13" s="33" t="s">
        <v>21</v>
      </c>
      <c r="C13" s="10">
        <f>SUM(C8:C12)</f>
        <v>42054007.5043661</v>
      </c>
      <c r="D13" s="11" t="s">
        <v>3</v>
      </c>
      <c r="E13" s="1"/>
    </row>
    <row r="14" spans="1:5" x14ac:dyDescent="0.25">
      <c r="A14" s="1"/>
      <c r="B14" s="30" t="s">
        <v>12</v>
      </c>
      <c r="C14" s="31"/>
      <c r="D14" s="19"/>
      <c r="E14" s="1"/>
    </row>
    <row r="15" spans="1:5" ht="15" customHeight="1" x14ac:dyDescent="0.25">
      <c r="A15" s="1"/>
      <c r="B15" s="94" t="s">
        <v>12</v>
      </c>
      <c r="C15" s="10">
        <f>'Fane 6. Ikke-påvirkelige omk.'!C16*(1+'Fane 15. Nøgletal'!C16)^3+'Fane 6. Ikke-påvirkelige omk.'!C23+'Fane 6. Ikke-påvirkelige omk.'!C31</f>
        <v>1206805.0207484898</v>
      </c>
      <c r="D15" s="11" t="s">
        <v>3</v>
      </c>
      <c r="E15" s="1"/>
    </row>
    <row r="16" spans="1:5" ht="15" customHeight="1" x14ac:dyDescent="0.25">
      <c r="A16" s="1"/>
      <c r="B16" s="30" t="s">
        <v>70</v>
      </c>
      <c r="C16" s="31"/>
      <c r="D16" s="19"/>
      <c r="E16" s="1"/>
    </row>
    <row r="17" spans="1:5" ht="15" customHeight="1" x14ac:dyDescent="0.25">
      <c r="A17" s="1"/>
      <c r="B17" s="86"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4" t="s">
        <v>163</v>
      </c>
      <c r="C19" s="10">
        <v>0</v>
      </c>
      <c r="D19" s="11" t="s">
        <v>3</v>
      </c>
      <c r="E19" s="1"/>
    </row>
    <row r="20" spans="1:5" ht="15" customHeight="1" x14ac:dyDescent="0.25">
      <c r="A20" s="1"/>
      <c r="B20" s="32" t="s">
        <v>155</v>
      </c>
      <c r="C20" s="31"/>
      <c r="D20" s="19"/>
      <c r="E20" s="1"/>
    </row>
    <row r="21" spans="1:5" ht="15" customHeight="1" x14ac:dyDescent="0.25">
      <c r="A21" s="1"/>
      <c r="B21" s="68" t="s">
        <v>156</v>
      </c>
      <c r="C21" s="10">
        <f>'Fane 8. Skattesagen'!G16</f>
        <v>0</v>
      </c>
      <c r="D21" s="11" t="s">
        <v>3</v>
      </c>
      <c r="E21" s="1"/>
    </row>
    <row r="22" spans="1:5" ht="15" customHeight="1" x14ac:dyDescent="0.25">
      <c r="A22" s="1"/>
      <c r="B22" s="30" t="s">
        <v>252</v>
      </c>
      <c r="C22" s="12">
        <f>SUM(C13,C15,C17,C19,C21)</f>
        <v>43260812.525114588</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4bAidspA9SxRKlGAITNFhV/o93IOfiZZ2GnJMZuJxax6psqOsionTbLSvoyTPKyy6iglvD0C+wrkCMxCE1FnAQ==" saltValue="nsk//kSxwbGEDUtSzCH3K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9"/>
  <sheetViews>
    <sheetView showGridLines="0" view="pageLayout" zoomScale="55" zoomScaleNormal="100" zoomScalePageLayoutView="55"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0" t="s">
        <v>239</v>
      </c>
      <c r="C3" s="120"/>
      <c r="D3" s="120"/>
      <c r="E3" s="1"/>
    </row>
    <row r="4" spans="1:5" x14ac:dyDescent="0.25">
      <c r="A4" s="1"/>
      <c r="B4" s="120"/>
      <c r="C4" s="120"/>
      <c r="D4" s="12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7" t="s">
        <v>241</v>
      </c>
      <c r="C9" s="7">
        <v>32801958.621976782</v>
      </c>
      <c r="D9" s="8" t="s">
        <v>3</v>
      </c>
      <c r="E9" s="1"/>
    </row>
    <row r="10" spans="1:5" x14ac:dyDescent="0.25">
      <c r="A10" s="1"/>
      <c r="B10" s="66" t="s">
        <v>271</v>
      </c>
      <c r="C10" s="7">
        <v>0</v>
      </c>
      <c r="D10" s="8" t="s">
        <v>3</v>
      </c>
      <c r="E10" s="1"/>
    </row>
    <row r="11" spans="1:5" x14ac:dyDescent="0.25">
      <c r="A11" s="1"/>
      <c r="B11" s="66" t="s">
        <v>272</v>
      </c>
      <c r="C11" s="7">
        <v>0</v>
      </c>
      <c r="D11" s="8" t="s">
        <v>3</v>
      </c>
      <c r="E11" s="1"/>
    </row>
    <row r="12" spans="1:5" x14ac:dyDescent="0.25">
      <c r="A12" s="1"/>
      <c r="B12" s="93" t="s">
        <v>37</v>
      </c>
      <c r="C12" s="36">
        <v>0</v>
      </c>
      <c r="D12" s="8" t="s">
        <v>3</v>
      </c>
      <c r="E12" s="1"/>
    </row>
    <row r="13" spans="1:5" x14ac:dyDescent="0.25">
      <c r="A13" s="1"/>
      <c r="B13" s="93" t="s">
        <v>38</v>
      </c>
      <c r="C13" s="36">
        <v>0</v>
      </c>
      <c r="D13" s="8" t="s">
        <v>3</v>
      </c>
      <c r="E13" s="1"/>
    </row>
    <row r="14" spans="1:5" x14ac:dyDescent="0.25">
      <c r="A14" s="1"/>
      <c r="B14" s="93" t="s">
        <v>27</v>
      </c>
      <c r="C14" s="9">
        <v>0</v>
      </c>
      <c r="D14" s="8" t="s">
        <v>3</v>
      </c>
      <c r="E14" s="1"/>
    </row>
    <row r="15" spans="1:5" x14ac:dyDescent="0.25">
      <c r="A15" s="1"/>
      <c r="B15" s="93" t="s">
        <v>26</v>
      </c>
      <c r="C15" s="9">
        <v>0</v>
      </c>
      <c r="D15" s="8" t="s">
        <v>3</v>
      </c>
      <c r="E15" s="1"/>
    </row>
    <row r="16" spans="1:5" x14ac:dyDescent="0.25">
      <c r="A16" s="1"/>
      <c r="B16" s="93" t="s">
        <v>104</v>
      </c>
      <c r="C16" s="9">
        <v>0</v>
      </c>
      <c r="D16" s="8" t="s">
        <v>3</v>
      </c>
      <c r="E16" s="1"/>
    </row>
    <row r="17" spans="1:5" x14ac:dyDescent="0.25">
      <c r="A17" s="1"/>
      <c r="B17" s="93" t="s">
        <v>105</v>
      </c>
      <c r="C17" s="9">
        <v>0</v>
      </c>
      <c r="D17" s="8" t="s">
        <v>3</v>
      </c>
      <c r="E17" s="1"/>
    </row>
    <row r="18" spans="1:5" x14ac:dyDescent="0.25">
      <c r="A18" s="1"/>
      <c r="B18" s="93" t="s">
        <v>19</v>
      </c>
      <c r="C18" s="9">
        <v>108246.46345252339</v>
      </c>
      <c r="D18" s="8" t="s">
        <v>3</v>
      </c>
      <c r="E18" s="1"/>
    </row>
    <row r="19" spans="1:5" x14ac:dyDescent="0.25">
      <c r="A19" s="1"/>
      <c r="B19" s="93" t="s">
        <v>10</v>
      </c>
      <c r="C19" s="9">
        <v>-658204.10170858609</v>
      </c>
      <c r="D19" s="8" t="s">
        <v>3</v>
      </c>
      <c r="E19" s="1"/>
    </row>
    <row r="20" spans="1:5" x14ac:dyDescent="0.25">
      <c r="A20" s="1"/>
      <c r="B20" s="93" t="s">
        <v>24</v>
      </c>
      <c r="C20" s="9">
        <v>-229588.32298762671</v>
      </c>
      <c r="D20" s="8" t="s">
        <v>3</v>
      </c>
      <c r="E20" s="38"/>
    </row>
    <row r="21" spans="1:5" x14ac:dyDescent="0.25">
      <c r="A21" s="1"/>
      <c r="B21" s="93" t="s">
        <v>25</v>
      </c>
      <c r="C21" s="9">
        <v>-329535.5277853859</v>
      </c>
      <c r="D21" s="8" t="s">
        <v>3</v>
      </c>
      <c r="E21" s="1"/>
    </row>
    <row r="22" spans="1:5" x14ac:dyDescent="0.25">
      <c r="A22" s="1"/>
      <c r="B22" s="86" t="s">
        <v>21</v>
      </c>
      <c r="C22" s="10">
        <v>31692877.132947702</v>
      </c>
      <c r="D22" s="11" t="s">
        <v>3</v>
      </c>
      <c r="E22" s="1"/>
    </row>
    <row r="23" spans="1:5" x14ac:dyDescent="0.25">
      <c r="A23" s="1"/>
      <c r="B23" s="30" t="s">
        <v>12</v>
      </c>
      <c r="C23" s="31"/>
      <c r="D23" s="19"/>
      <c r="E23" s="1"/>
    </row>
    <row r="24" spans="1:5" x14ac:dyDescent="0.25">
      <c r="A24" s="1"/>
      <c r="B24" s="94" t="s">
        <v>12</v>
      </c>
      <c r="C24" s="10">
        <v>774352.53547344008</v>
      </c>
      <c r="D24" s="11" t="s">
        <v>3</v>
      </c>
      <c r="E24" s="1"/>
    </row>
    <row r="25" spans="1:5" x14ac:dyDescent="0.25">
      <c r="A25" s="1"/>
      <c r="B25" s="30" t="s">
        <v>70</v>
      </c>
      <c r="C25" s="31"/>
      <c r="D25" s="19"/>
      <c r="E25" s="1"/>
    </row>
    <row r="26" spans="1:5" x14ac:dyDescent="0.25">
      <c r="A26" s="1"/>
      <c r="B26" s="86" t="s">
        <v>70</v>
      </c>
      <c r="C26" s="10">
        <v>0</v>
      </c>
      <c r="D26" s="11" t="s">
        <v>3</v>
      </c>
      <c r="E26" s="1"/>
    </row>
    <row r="27" spans="1:5" x14ac:dyDescent="0.25">
      <c r="A27" s="1"/>
      <c r="B27" s="30" t="s">
        <v>69</v>
      </c>
      <c r="C27" s="31"/>
      <c r="D27" s="19"/>
      <c r="E27" s="1"/>
    </row>
    <row r="28" spans="1:5" x14ac:dyDescent="0.25">
      <c r="A28" s="1"/>
      <c r="B28" s="93" t="s">
        <v>65</v>
      </c>
      <c r="C28" s="9">
        <v>0</v>
      </c>
      <c r="D28" s="8" t="s">
        <v>3</v>
      </c>
      <c r="E28" s="1"/>
    </row>
    <row r="29" spans="1:5" x14ac:dyDescent="0.25">
      <c r="A29" s="1"/>
      <c r="B29" s="93" t="s">
        <v>66</v>
      </c>
      <c r="C29" s="9">
        <v>0</v>
      </c>
      <c r="D29" s="8" t="s">
        <v>3</v>
      </c>
      <c r="E29" s="1"/>
    </row>
    <row r="30" spans="1:5" x14ac:dyDescent="0.25">
      <c r="A30" s="1"/>
      <c r="B30" s="93" t="s">
        <v>185</v>
      </c>
      <c r="C30" s="9">
        <v>0</v>
      </c>
      <c r="D30" s="8" t="s">
        <v>3</v>
      </c>
      <c r="E30" s="1"/>
    </row>
    <row r="31" spans="1:5" x14ac:dyDescent="0.25">
      <c r="A31" s="1"/>
      <c r="B31" s="37" t="s">
        <v>186</v>
      </c>
      <c r="C31" s="9">
        <v>0</v>
      </c>
      <c r="D31" s="8" t="s">
        <v>3</v>
      </c>
      <c r="E31" s="1"/>
    </row>
    <row r="32" spans="1:5" x14ac:dyDescent="0.25">
      <c r="A32" s="1"/>
      <c r="B32" s="86" t="s">
        <v>71</v>
      </c>
      <c r="C32" s="10">
        <v>0</v>
      </c>
      <c r="D32" s="11" t="s">
        <v>3</v>
      </c>
      <c r="E32" s="1"/>
    </row>
    <row r="33" spans="1:5" x14ac:dyDescent="0.25">
      <c r="A33" s="1"/>
      <c r="B33" s="30" t="s">
        <v>273</v>
      </c>
      <c r="C33" s="31"/>
      <c r="D33" s="19"/>
      <c r="E33" s="1"/>
    </row>
    <row r="34" spans="1:5" x14ac:dyDescent="0.25">
      <c r="A34" s="1"/>
      <c r="B34" s="94" t="s">
        <v>273</v>
      </c>
      <c r="C34" s="10">
        <v>0</v>
      </c>
      <c r="D34" s="11" t="s">
        <v>3</v>
      </c>
      <c r="E34" s="1"/>
    </row>
    <row r="35" spans="1:5" x14ac:dyDescent="0.25">
      <c r="A35" s="1"/>
      <c r="B35" s="30" t="s">
        <v>119</v>
      </c>
      <c r="C35" s="31"/>
      <c r="D35" s="19"/>
      <c r="E35" s="1"/>
    </row>
    <row r="36" spans="1:5" x14ac:dyDescent="0.25">
      <c r="A36" s="1"/>
      <c r="B36" s="94" t="s">
        <v>163</v>
      </c>
      <c r="C36" s="10">
        <v>0</v>
      </c>
      <c r="D36" s="11" t="s">
        <v>3</v>
      </c>
      <c r="E36" s="1"/>
    </row>
    <row r="37" spans="1:5" x14ac:dyDescent="0.25">
      <c r="A37" s="1"/>
      <c r="B37" s="115" t="s">
        <v>155</v>
      </c>
      <c r="C37" s="116"/>
      <c r="D37" s="117"/>
      <c r="E37" s="1"/>
    </row>
    <row r="38" spans="1:5" x14ac:dyDescent="0.25">
      <c r="A38" s="1"/>
      <c r="B38" s="68" t="s">
        <v>156</v>
      </c>
      <c r="C38" s="10">
        <v>0</v>
      </c>
      <c r="D38" s="11" t="s">
        <v>3</v>
      </c>
      <c r="E38" s="1"/>
    </row>
    <row r="39" spans="1:5" x14ac:dyDescent="0.25">
      <c r="A39" s="1"/>
      <c r="B39" s="30" t="s">
        <v>274</v>
      </c>
      <c r="C39" s="12">
        <v>32467229.668421142</v>
      </c>
      <c r="D39" s="13" t="s">
        <v>3</v>
      </c>
      <c r="E39" s="1"/>
    </row>
    <row r="40" spans="1:5" ht="30" customHeight="1" x14ac:dyDescent="0.25">
      <c r="A40" s="1"/>
      <c r="B40" s="119" t="s">
        <v>275</v>
      </c>
      <c r="C40" s="119"/>
      <c r="D40" s="119"/>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39"/>
      <c r="B48" s="39"/>
      <c r="C48" s="39"/>
      <c r="D48" s="39"/>
      <c r="E48" s="39"/>
    </row>
    <row r="49" spans="1:4" x14ac:dyDescent="0.25">
      <c r="A49" s="39"/>
      <c r="B49" s="39"/>
      <c r="C49" s="39"/>
      <c r="D49" s="39"/>
    </row>
  </sheetData>
  <sheetProtection algorithmName="SHA-512" hashValue="RIesMq5zROKFWixbEsuwNlqMyN+aKKAk90/JSyLr/1bl2aCFj+IyDr+azdb2nyuwHsT8b7Kbw7zznlKKu8dMpw==" saltValue="5FQroPA4sVFvvxC28Eny+w=="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85" zoomScaleNormal="100" zoomScalePageLayoutView="85"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0" t="s">
        <v>90</v>
      </c>
      <c r="C1" s="120"/>
      <c r="D1" s="120"/>
      <c r="E1" s="120"/>
      <c r="F1" s="120"/>
      <c r="G1" s="120"/>
      <c r="H1" s="120"/>
      <c r="I1" s="1"/>
    </row>
    <row r="2" spans="1:9" ht="15" customHeight="1" x14ac:dyDescent="0.25">
      <c r="A2" s="1"/>
      <c r="B2" s="120"/>
      <c r="C2" s="120"/>
      <c r="D2" s="120"/>
      <c r="E2" s="120"/>
      <c r="F2" s="120"/>
      <c r="G2" s="120"/>
      <c r="H2" s="120"/>
      <c r="I2" s="1"/>
    </row>
    <row r="3" spans="1:9" ht="15" customHeight="1" x14ac:dyDescent="0.25">
      <c r="A3" s="1"/>
      <c r="B3" s="120"/>
      <c r="C3" s="120"/>
      <c r="D3" s="120"/>
      <c r="E3" s="120"/>
      <c r="F3" s="120"/>
      <c r="G3" s="120"/>
      <c r="H3" s="120"/>
      <c r="I3" s="1"/>
    </row>
    <row r="4" spans="1:9" x14ac:dyDescent="0.25">
      <c r="A4" s="1"/>
      <c r="B4" s="135" t="s">
        <v>132</v>
      </c>
      <c r="C4" s="136"/>
      <c r="D4" s="136"/>
      <c r="E4" s="136"/>
      <c r="F4" s="136"/>
      <c r="G4" s="136"/>
      <c r="H4" s="137"/>
      <c r="I4" s="1"/>
    </row>
    <row r="5" spans="1:9" x14ac:dyDescent="0.25">
      <c r="A5" s="1"/>
      <c r="B5" s="121" t="s">
        <v>133</v>
      </c>
      <c r="C5" s="122"/>
      <c r="D5" s="122"/>
      <c r="E5" s="122"/>
      <c r="F5" s="123"/>
      <c r="G5" s="57">
        <v>12010581.923892936</v>
      </c>
      <c r="H5" s="58" t="s">
        <v>3</v>
      </c>
      <c r="I5" s="1"/>
    </row>
    <row r="6" spans="1:9" ht="15" customHeight="1" x14ac:dyDescent="0.25">
      <c r="A6" s="1"/>
      <c r="B6" s="130" t="s">
        <v>134</v>
      </c>
      <c r="C6" s="131"/>
      <c r="D6" s="131"/>
      <c r="E6" s="131"/>
      <c r="F6" s="132"/>
      <c r="G6" s="70">
        <v>0</v>
      </c>
      <c r="H6" s="58" t="s">
        <v>3</v>
      </c>
      <c r="I6" s="1"/>
    </row>
    <row r="7" spans="1:9" x14ac:dyDescent="0.25">
      <c r="A7" s="1"/>
      <c r="B7" s="121" t="s">
        <v>135</v>
      </c>
      <c r="C7" s="122"/>
      <c r="D7" s="122"/>
      <c r="E7" s="122"/>
      <c r="F7" s="123"/>
      <c r="G7" s="57">
        <f>SUM(G5:G6)*'Fane 15. Nøgletal'!C33</f>
        <v>240211.63847785871</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27" t="s">
        <v>47</v>
      </c>
      <c r="C10" s="128"/>
      <c r="D10" s="128"/>
      <c r="E10" s="128"/>
      <c r="F10" s="128"/>
      <c r="G10" s="128"/>
      <c r="H10" s="129"/>
      <c r="I10" s="1"/>
    </row>
    <row r="11" spans="1:9" x14ac:dyDescent="0.25">
      <c r="A11" s="1"/>
      <c r="B11" s="121" t="s">
        <v>136</v>
      </c>
      <c r="C11" s="122"/>
      <c r="D11" s="122"/>
      <c r="E11" s="122"/>
      <c r="F11" s="123"/>
      <c r="G11" s="57">
        <f>(G5-G7)*(1+'Fane 15. Nøgletal'!C10)</f>
        <v>11976351.765409842</v>
      </c>
      <c r="H11" s="58" t="s">
        <v>3</v>
      </c>
      <c r="I11" s="1"/>
    </row>
    <row r="12" spans="1:9" x14ac:dyDescent="0.25">
      <c r="A12" s="1"/>
      <c r="B12" s="121" t="s">
        <v>101</v>
      </c>
      <c r="C12" s="122"/>
      <c r="D12" s="122"/>
      <c r="E12" s="122"/>
      <c r="F12" s="123"/>
      <c r="G12" s="70">
        <v>0</v>
      </c>
      <c r="H12" s="58" t="s">
        <v>3</v>
      </c>
      <c r="I12" s="1"/>
    </row>
    <row r="13" spans="1:9" x14ac:dyDescent="0.25">
      <c r="A13" s="1"/>
      <c r="B13" s="130" t="s">
        <v>99</v>
      </c>
      <c r="C13" s="131"/>
      <c r="D13" s="131"/>
      <c r="E13" s="131"/>
      <c r="F13" s="132"/>
      <c r="G13" s="70">
        <v>0</v>
      </c>
      <c r="H13" s="58" t="s">
        <v>3</v>
      </c>
      <c r="I13" s="1"/>
    </row>
    <row r="14" spans="1:9" x14ac:dyDescent="0.25">
      <c r="A14" s="1"/>
      <c r="B14" s="138" t="s">
        <v>137</v>
      </c>
      <c r="C14" s="133"/>
      <c r="D14" s="133"/>
      <c r="E14" s="133"/>
      <c r="F14" s="134"/>
      <c r="G14" s="70">
        <v>0</v>
      </c>
      <c r="H14" s="58" t="s">
        <v>3</v>
      </c>
      <c r="I14" s="1"/>
    </row>
    <row r="15" spans="1:9" x14ac:dyDescent="0.25">
      <c r="A15" s="1"/>
      <c r="B15" s="121" t="s">
        <v>40</v>
      </c>
      <c r="C15" s="122"/>
      <c r="D15" s="122"/>
      <c r="E15" s="122"/>
      <c r="F15" s="123"/>
      <c r="G15" s="57">
        <f>SUM(G11:G14)*'Fane 15. Nøgletal'!C33</f>
        <v>239527.03530819685</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27" t="s">
        <v>48</v>
      </c>
      <c r="C18" s="128"/>
      <c r="D18" s="128"/>
      <c r="E18" s="128"/>
      <c r="F18" s="128"/>
      <c r="G18" s="128"/>
      <c r="H18" s="129"/>
      <c r="I18" s="1"/>
    </row>
    <row r="19" spans="1:9" x14ac:dyDescent="0.25">
      <c r="A19" s="1"/>
      <c r="B19" s="121" t="s">
        <v>41</v>
      </c>
      <c r="C19" s="122"/>
      <c r="D19" s="122"/>
      <c r="E19" s="122"/>
      <c r="F19" s="123"/>
      <c r="G19" s="57">
        <f>(G11+G12+G14-G15)*(1+'Fane 15. Nøgletal'!C10)</f>
        <v>11942219.162878424</v>
      </c>
      <c r="H19" s="58" t="s">
        <v>3</v>
      </c>
      <c r="I19" s="1"/>
    </row>
    <row r="20" spans="1:9" x14ac:dyDescent="0.25">
      <c r="A20" s="1"/>
      <c r="B20" s="138" t="s">
        <v>42</v>
      </c>
      <c r="C20" s="133"/>
      <c r="D20" s="133"/>
      <c r="E20" s="133"/>
      <c r="F20" s="134"/>
      <c r="G20" s="70">
        <v>0</v>
      </c>
      <c r="H20" s="58" t="s">
        <v>3</v>
      </c>
      <c r="I20" s="1"/>
    </row>
    <row r="21" spans="1:9" x14ac:dyDescent="0.25">
      <c r="A21" s="1"/>
      <c r="B21" s="121" t="s">
        <v>43</v>
      </c>
      <c r="C21" s="122"/>
      <c r="D21" s="122"/>
      <c r="E21" s="122"/>
      <c r="F21" s="123"/>
      <c r="G21" s="57">
        <f>(G19+G20)*'Fane 15. Nøgletal'!C33</f>
        <v>238844.38325756849</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27" t="s">
        <v>49</v>
      </c>
      <c r="C24" s="128"/>
      <c r="D24" s="128"/>
      <c r="E24" s="128"/>
      <c r="F24" s="128"/>
      <c r="G24" s="128"/>
      <c r="H24" s="129"/>
      <c r="I24" s="1"/>
    </row>
    <row r="25" spans="1:9" x14ac:dyDescent="0.25">
      <c r="A25" s="1"/>
      <c r="B25" s="121" t="s">
        <v>44</v>
      </c>
      <c r="C25" s="122"/>
      <c r="D25" s="122"/>
      <c r="E25" s="122"/>
      <c r="F25" s="123"/>
      <c r="G25" s="57">
        <f>G19*(1-'Fane 15. Nøgletal'!C33)*(1+'Fane 15. Nøgletal'!C10)+G20*(1-'Fane 15. Nøgletal'!C33)*(1+'Fane 15. Nøgletal'!C11)</f>
        <v>11908183.838264221</v>
      </c>
      <c r="H25" s="58" t="s">
        <v>3</v>
      </c>
      <c r="I25" s="1"/>
    </row>
    <row r="26" spans="1:9" x14ac:dyDescent="0.25">
      <c r="A26" s="1"/>
      <c r="B26" s="124" t="s">
        <v>138</v>
      </c>
      <c r="C26" s="125"/>
      <c r="D26" s="125"/>
      <c r="E26" s="125"/>
      <c r="F26" s="126"/>
      <c r="G26" s="70">
        <f>G20*(1-'Fane 15. Nøgletal'!C33)*(1+'Fane 15. Nøgletal'!C11)</f>
        <v>0</v>
      </c>
      <c r="H26" s="58" t="s">
        <v>3</v>
      </c>
      <c r="I26" s="1"/>
    </row>
    <row r="27" spans="1:9" x14ac:dyDescent="0.25">
      <c r="A27" s="1"/>
      <c r="B27" s="138" t="s">
        <v>45</v>
      </c>
      <c r="C27" s="133"/>
      <c r="D27" s="133"/>
      <c r="E27" s="133"/>
      <c r="F27" s="134"/>
      <c r="G27" s="70">
        <v>0</v>
      </c>
      <c r="H27" s="58" t="s">
        <v>3</v>
      </c>
      <c r="I27" s="1"/>
    </row>
    <row r="28" spans="1:9" x14ac:dyDescent="0.25">
      <c r="A28" s="1"/>
      <c r="B28" s="121" t="s">
        <v>46</v>
      </c>
      <c r="C28" s="122"/>
      <c r="D28" s="122"/>
      <c r="E28" s="122"/>
      <c r="F28" s="123"/>
      <c r="G28" s="57">
        <f>SUM(G25,G27)*'Fane 15. Nøgletal'!C33</f>
        <v>238163.67676528444</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27" t="s">
        <v>50</v>
      </c>
      <c r="C31" s="128"/>
      <c r="D31" s="128"/>
      <c r="E31" s="128"/>
      <c r="F31" s="128"/>
      <c r="G31" s="128"/>
      <c r="H31" s="129"/>
      <c r="I31" s="1"/>
    </row>
    <row r="32" spans="1:9" x14ac:dyDescent="0.25">
      <c r="A32" s="1"/>
      <c r="B32" s="121" t="s">
        <v>51</v>
      </c>
      <c r="C32" s="122"/>
      <c r="D32" s="122"/>
      <c r="E32" s="122"/>
      <c r="F32" s="123"/>
      <c r="G32" s="57">
        <f>(G25-G26)*(1-'Fane 15. Nøgletal'!C33)*(1+'Fane 15. Nøgletal'!C10)+G26*(1-'Fane 15. Nøgletal'!C33)*(1+'Fane 15. Nøgletal'!C11)+G27*(1-'Fane 15. Nøgletal'!C33)*(1+'Fane 15. Nøgletal'!C12)</f>
        <v>11874245.514325168</v>
      </c>
      <c r="H32" s="58" t="s">
        <v>3</v>
      </c>
      <c r="I32" s="1"/>
    </row>
    <row r="33" spans="1:9" x14ac:dyDescent="0.25">
      <c r="A33" s="1"/>
      <c r="B33" s="124" t="s">
        <v>138</v>
      </c>
      <c r="C33" s="133"/>
      <c r="D33" s="133"/>
      <c r="E33" s="133"/>
      <c r="F33" s="134"/>
      <c r="G33" s="70">
        <f>G26*(1-'Fane 15. Nøgletal'!C33)*(1+'Fane 15. Nøgletal'!C11)</f>
        <v>0</v>
      </c>
      <c r="H33" s="58" t="s">
        <v>3</v>
      </c>
      <c r="I33" s="1"/>
    </row>
    <row r="34" spans="1:9" x14ac:dyDescent="0.25">
      <c r="A34" s="1"/>
      <c r="B34" s="124" t="s">
        <v>98</v>
      </c>
      <c r="C34" s="133"/>
      <c r="D34" s="133"/>
      <c r="E34" s="133"/>
      <c r="F34" s="134"/>
      <c r="G34" s="70">
        <f>G27*(1-'Fane 15. Nøgletal'!C33)*(1+'Fane 15. Nøgletal'!C12)</f>
        <v>0</v>
      </c>
      <c r="H34" s="58" t="s">
        <v>3</v>
      </c>
      <c r="I34" s="1"/>
    </row>
    <row r="35" spans="1:9" x14ac:dyDescent="0.25">
      <c r="A35" s="1"/>
      <c r="B35" s="121" t="s">
        <v>114</v>
      </c>
      <c r="C35" s="122"/>
      <c r="D35" s="122"/>
      <c r="E35" s="122"/>
      <c r="F35" s="123"/>
      <c r="G35" s="70">
        <v>0</v>
      </c>
      <c r="H35" s="58" t="s">
        <v>3</v>
      </c>
      <c r="I35" s="1"/>
    </row>
    <row r="36" spans="1:9" x14ac:dyDescent="0.25">
      <c r="A36" s="1"/>
      <c r="B36" s="121" t="s">
        <v>52</v>
      </c>
      <c r="C36" s="122"/>
      <c r="D36" s="122"/>
      <c r="E36" s="122"/>
      <c r="F36" s="123"/>
      <c r="G36" s="57">
        <f>SUM(G32,G35)*'Fane 15. Nøgletal'!C33</f>
        <v>237484.91028650338</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27" t="s">
        <v>124</v>
      </c>
      <c r="C39" s="128"/>
      <c r="D39" s="128"/>
      <c r="E39" s="128"/>
      <c r="F39" s="128"/>
      <c r="G39" s="128"/>
      <c r="H39" s="129"/>
      <c r="I39" s="1"/>
    </row>
    <row r="40" spans="1:9" x14ac:dyDescent="0.25">
      <c r="A40" s="1"/>
      <c r="B40" s="121" t="s">
        <v>144</v>
      </c>
      <c r="C40" s="122"/>
      <c r="D40" s="122"/>
      <c r="E40" s="122"/>
      <c r="F40" s="123"/>
      <c r="G40" s="57">
        <f>(SUM(G32,G35)-G36)*(1+'Fane 15. Nøgletal'!C14)</f>
        <v>11675161.914031994</v>
      </c>
      <c r="H40" s="58" t="s">
        <v>3</v>
      </c>
      <c r="I40" s="1"/>
    </row>
    <row r="41" spans="1:9" x14ac:dyDescent="0.25">
      <c r="A41" s="1"/>
      <c r="B41" s="121" t="s">
        <v>143</v>
      </c>
      <c r="C41" s="122"/>
      <c r="D41" s="122"/>
      <c r="E41" s="122"/>
      <c r="F41" s="123"/>
      <c r="G41" s="71">
        <v>0</v>
      </c>
      <c r="H41" s="58" t="s">
        <v>3</v>
      </c>
      <c r="I41" s="1"/>
    </row>
    <row r="42" spans="1:9" x14ac:dyDescent="0.25">
      <c r="A42" s="1"/>
      <c r="B42" s="121" t="s">
        <v>142</v>
      </c>
      <c r="C42" s="122"/>
      <c r="D42" s="122"/>
      <c r="E42" s="122"/>
      <c r="F42" s="123"/>
      <c r="G42" s="57">
        <f>(G40+G41)*'Fane 15. Nøgletal'!C33</f>
        <v>233503.23828063987</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27" t="s">
        <v>131</v>
      </c>
      <c r="C45" s="128"/>
      <c r="D45" s="128"/>
      <c r="E45" s="128"/>
      <c r="F45" s="128"/>
      <c r="G45" s="128"/>
      <c r="H45" s="129"/>
      <c r="I45" s="1"/>
    </row>
    <row r="46" spans="1:9" x14ac:dyDescent="0.25">
      <c r="A46" s="1"/>
      <c r="B46" s="121" t="s">
        <v>152</v>
      </c>
      <c r="C46" s="122"/>
      <c r="D46" s="122"/>
      <c r="E46" s="122"/>
      <c r="F46" s="123"/>
      <c r="G46" s="57">
        <f>(G40+G41-G42)*(1+'Fane 15. Nøgletal'!C14)</f>
        <v>11479416.149381336</v>
      </c>
      <c r="H46" s="58" t="s">
        <v>3</v>
      </c>
      <c r="I46" s="1"/>
    </row>
    <row r="47" spans="1:9" x14ac:dyDescent="0.25">
      <c r="A47" s="1"/>
      <c r="B47" s="124" t="s">
        <v>181</v>
      </c>
      <c r="C47" s="125"/>
      <c r="D47" s="125"/>
      <c r="E47" s="125"/>
      <c r="F47" s="126"/>
      <c r="G47" s="70">
        <v>0</v>
      </c>
      <c r="H47" s="58" t="s">
        <v>3</v>
      </c>
      <c r="I47" s="1"/>
    </row>
    <row r="48" spans="1:9" x14ac:dyDescent="0.25">
      <c r="A48" s="1"/>
      <c r="B48" s="121" t="s">
        <v>153</v>
      </c>
      <c r="C48" s="122"/>
      <c r="D48" s="122"/>
      <c r="E48" s="122"/>
      <c r="F48" s="123"/>
      <c r="G48" s="57">
        <f>G46*'Fane 15. Nøgletal'!C33+'Fane 4.1. Gen. krav - drift'!G47*'Fane 15. Nøgletal'!C33</f>
        <v>229588.32298762671</v>
      </c>
      <c r="H48" s="58" t="s">
        <v>3</v>
      </c>
      <c r="I48" s="1"/>
    </row>
    <row r="49" spans="1:9" x14ac:dyDescent="0.25">
      <c r="A49" s="1"/>
      <c r="B49" s="59"/>
      <c r="C49" s="60"/>
      <c r="D49" s="60"/>
      <c r="E49" s="60"/>
      <c r="F49" s="60"/>
      <c r="G49" s="52"/>
      <c r="H49" s="61"/>
      <c r="I49" s="1"/>
    </row>
    <row r="50" spans="1:9" x14ac:dyDescent="0.25">
      <c r="A50" s="1"/>
      <c r="B50" s="63"/>
      <c r="C50" s="63"/>
      <c r="D50" s="63"/>
      <c r="E50" s="63"/>
      <c r="F50" s="63"/>
      <c r="G50" s="54"/>
      <c r="H50" s="63"/>
      <c r="I50" s="1"/>
    </row>
    <row r="51" spans="1:9" x14ac:dyDescent="0.25">
      <c r="A51" s="1"/>
      <c r="B51" s="63"/>
      <c r="C51" s="63"/>
      <c r="D51" s="63"/>
      <c r="E51" s="63"/>
      <c r="F51" s="63"/>
      <c r="G51" s="54"/>
      <c r="H51" s="63"/>
      <c r="I51" s="1"/>
    </row>
    <row r="52" spans="1:9" x14ac:dyDescent="0.25">
      <c r="A52" s="1"/>
      <c r="B52" s="127" t="s">
        <v>253</v>
      </c>
      <c r="C52" s="128"/>
      <c r="D52" s="128"/>
      <c r="E52" s="128"/>
      <c r="F52" s="128"/>
      <c r="G52" s="128"/>
      <c r="H52" s="129"/>
      <c r="I52" s="1"/>
    </row>
    <row r="53" spans="1:9" x14ac:dyDescent="0.25">
      <c r="A53" s="1"/>
      <c r="B53" s="121" t="s">
        <v>115</v>
      </c>
      <c r="C53" s="122"/>
      <c r="D53" s="122"/>
      <c r="E53" s="122"/>
      <c r="F53" s="123"/>
      <c r="G53" s="57">
        <f>(G46+G47-G48)*(1+'Fane 15. Nøgletal'!C16)</f>
        <v>12158813.914766321</v>
      </c>
      <c r="H53" s="58" t="s">
        <v>3</v>
      </c>
      <c r="I53" s="1"/>
    </row>
    <row r="54" spans="1:9" x14ac:dyDescent="0.25">
      <c r="A54" s="1"/>
      <c r="B54" s="124" t="s">
        <v>243</v>
      </c>
      <c r="C54" s="125"/>
      <c r="D54" s="125"/>
      <c r="E54" s="125"/>
      <c r="F54" s="126"/>
      <c r="G54" s="70">
        <f>('Fane 2.1. Økonomisk ramme 2024'!C10+'Fane 2.1. Økonomisk ramme 2024'!C14+'Fane 2.1. Økonomisk ramme 2024'!C12)*(1+'Fane 15. Nøgletal'!C16)</f>
        <v>0</v>
      </c>
      <c r="H54" s="58" t="s">
        <v>3</v>
      </c>
      <c r="I54" s="1"/>
    </row>
    <row r="55" spans="1:9" x14ac:dyDescent="0.25">
      <c r="A55" s="1"/>
      <c r="B55" s="121" t="s">
        <v>116</v>
      </c>
      <c r="C55" s="122"/>
      <c r="D55" s="122"/>
      <c r="E55" s="122"/>
      <c r="F55" s="123"/>
      <c r="G55" s="57">
        <f>(G53+G54)*'Fane 15. Nøgletal'!C33</f>
        <v>243176.27829532642</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77" t="s">
        <v>254</v>
      </c>
      <c r="C58" s="78"/>
      <c r="D58" s="78"/>
      <c r="E58" s="78"/>
      <c r="F58" s="78"/>
      <c r="G58" s="64"/>
      <c r="H58" s="79"/>
      <c r="I58" s="1"/>
    </row>
    <row r="59" spans="1:9" x14ac:dyDescent="0.25">
      <c r="A59" s="1"/>
      <c r="B59" s="74" t="s">
        <v>139</v>
      </c>
      <c r="C59" s="75"/>
      <c r="D59" s="75"/>
      <c r="E59" s="75"/>
      <c r="F59" s="76"/>
      <c r="G59" s="57">
        <f>(G53+G54-G55)*(1+'Fane 15. Nøgletal'!C16)</f>
        <v>12878421.157497849</v>
      </c>
      <c r="H59" s="58" t="s">
        <v>3</v>
      </c>
      <c r="I59" s="1"/>
    </row>
    <row r="60" spans="1:9" x14ac:dyDescent="0.25">
      <c r="A60" s="1"/>
      <c r="B60" s="74" t="s">
        <v>140</v>
      </c>
      <c r="C60" s="75"/>
      <c r="D60" s="75"/>
      <c r="E60" s="75"/>
      <c r="F60" s="76"/>
      <c r="G60" s="57">
        <f>(G59)*'Fane 15. Nøgletal'!C33</f>
        <v>257568.423149957</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77" t="s">
        <v>166</v>
      </c>
      <c r="C63" s="78"/>
      <c r="D63" s="78"/>
      <c r="E63" s="78"/>
      <c r="F63" s="78"/>
      <c r="G63" s="64"/>
      <c r="H63" s="79"/>
      <c r="I63" s="1"/>
    </row>
    <row r="64" spans="1:9" x14ac:dyDescent="0.25">
      <c r="A64" s="1"/>
      <c r="B64" s="74" t="s">
        <v>167</v>
      </c>
      <c r="C64" s="75"/>
      <c r="D64" s="75"/>
      <c r="E64" s="75"/>
      <c r="F64" s="76"/>
      <c r="G64" s="57">
        <f>(G59-G60)*(1+'Fane 15. Nøgletal'!C16)</f>
        <v>13640617.635283202</v>
      </c>
      <c r="H64" s="58" t="s">
        <v>3</v>
      </c>
      <c r="I64" s="1"/>
    </row>
    <row r="65" spans="1:9" x14ac:dyDescent="0.25">
      <c r="A65" s="1"/>
      <c r="B65" s="74" t="s">
        <v>168</v>
      </c>
      <c r="C65" s="75"/>
      <c r="D65" s="75"/>
      <c r="E65" s="75"/>
      <c r="F65" s="76"/>
      <c r="G65" s="57">
        <f>(G64)*'Fane 15. Nøgletal'!C33</f>
        <v>272812.35270566406</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77" t="s">
        <v>242</v>
      </c>
      <c r="C68" s="78"/>
      <c r="D68" s="78"/>
      <c r="E68" s="78"/>
      <c r="F68" s="78"/>
      <c r="G68" s="64"/>
      <c r="H68" s="79"/>
      <c r="I68" s="1"/>
    </row>
    <row r="69" spans="1:9" x14ac:dyDescent="0.25">
      <c r="A69" s="1"/>
      <c r="B69" s="74" t="s">
        <v>227</v>
      </c>
      <c r="C69" s="75"/>
      <c r="D69" s="75"/>
      <c r="E69" s="75"/>
      <c r="F69" s="76"/>
      <c r="G69" s="57">
        <f>(G64-G65)*(1+'Fane 15. Nøgletal'!C16)</f>
        <v>14447923.949409802</v>
      </c>
      <c r="H69" s="58" t="s">
        <v>3</v>
      </c>
      <c r="I69" s="1"/>
    </row>
    <row r="70" spans="1:9" x14ac:dyDescent="0.25">
      <c r="A70" s="1"/>
      <c r="B70" s="74" t="s">
        <v>228</v>
      </c>
      <c r="C70" s="75"/>
      <c r="D70" s="75"/>
      <c r="E70" s="75"/>
      <c r="F70" s="76"/>
      <c r="G70" s="57">
        <f>(G69)*'Fane 15. Nøgletal'!C33</f>
        <v>288958.47898819606</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O0Il2PQpgNpHdOyR7gjUAiaCZIZ0usrbzyBlTF78I3OgqfrFFZwx77GT/z1x8yCFvvMWRjdBVwWTch9CqHcU6g==" saltValue="14Du0YpnANJ+GB0zoAHwHg==" spinCount="100000" sheet="1" objects="1" scenarios="1"/>
  <mergeCells count="38">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5:F55"/>
    <mergeCell ref="B48:F48"/>
    <mergeCell ref="B54:F5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70" zoomScaleNormal="100" zoomScalePageLayoutView="70"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39" t="s">
        <v>89</v>
      </c>
      <c r="C2" s="139"/>
      <c r="D2" s="139"/>
      <c r="E2" s="139"/>
      <c r="F2" s="139"/>
      <c r="G2" s="139"/>
      <c r="H2" s="139"/>
      <c r="I2" s="1"/>
    </row>
    <row r="3" spans="1:9" ht="28.5" customHeight="1" x14ac:dyDescent="0.25">
      <c r="A3" s="1"/>
      <c r="B3" s="139"/>
      <c r="C3" s="139"/>
      <c r="D3" s="139"/>
      <c r="E3" s="139"/>
      <c r="F3" s="139"/>
      <c r="G3" s="139"/>
      <c r="H3" s="139"/>
      <c r="I3" s="1"/>
    </row>
    <row r="4" spans="1:9" ht="18.75" x14ac:dyDescent="0.3">
      <c r="A4" s="1"/>
      <c r="B4" s="25"/>
      <c r="C4" s="25"/>
      <c r="D4" s="25"/>
      <c r="E4" s="25"/>
      <c r="F4" s="25"/>
      <c r="G4" s="25"/>
      <c r="H4" s="25"/>
      <c r="I4" s="1"/>
    </row>
    <row r="5" spans="1:9" x14ac:dyDescent="0.25">
      <c r="A5" s="1"/>
      <c r="B5" s="135" t="s">
        <v>145</v>
      </c>
      <c r="C5" s="136"/>
      <c r="D5" s="136"/>
      <c r="E5" s="136"/>
      <c r="F5" s="136"/>
      <c r="G5" s="136"/>
      <c r="H5" s="137"/>
      <c r="I5" s="1"/>
    </row>
    <row r="6" spans="1:9" x14ac:dyDescent="0.25">
      <c r="A6" s="1"/>
      <c r="B6" s="121" t="s">
        <v>146</v>
      </c>
      <c r="C6" s="122"/>
      <c r="D6" s="122"/>
      <c r="E6" s="122"/>
      <c r="F6" s="123"/>
      <c r="G6" s="70">
        <v>22512365.753911536</v>
      </c>
      <c r="H6" s="58" t="s">
        <v>3</v>
      </c>
      <c r="I6" s="1"/>
    </row>
    <row r="7" spans="1:9" x14ac:dyDescent="0.25">
      <c r="A7" s="1"/>
      <c r="B7" s="121" t="s">
        <v>141</v>
      </c>
      <c r="C7" s="122"/>
      <c r="D7" s="122"/>
      <c r="E7" s="122"/>
      <c r="F7" s="123"/>
      <c r="G7" s="57">
        <f>G6*'Fane 15. Nøgletal'!C21</f>
        <v>204862.528360595</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27" t="s">
        <v>53</v>
      </c>
      <c r="C10" s="128"/>
      <c r="D10" s="128"/>
      <c r="E10" s="128"/>
      <c r="F10" s="128"/>
      <c r="G10" s="128"/>
      <c r="H10" s="129"/>
      <c r="I10" s="1"/>
    </row>
    <row r="11" spans="1:9" x14ac:dyDescent="0.25">
      <c r="A11" s="1"/>
      <c r="B11" s="121" t="s">
        <v>147</v>
      </c>
      <c r="C11" s="122"/>
      <c r="D11" s="122"/>
      <c r="E11" s="122"/>
      <c r="F11" s="123"/>
      <c r="G11" s="57">
        <f>(G6-G7)*(1+'Fane 15. Nøgletal'!C10)</f>
        <v>22697884.531998087</v>
      </c>
      <c r="H11" s="58" t="s">
        <v>3</v>
      </c>
      <c r="I11" s="1"/>
    </row>
    <row r="12" spans="1:9" x14ac:dyDescent="0.25">
      <c r="A12" s="1"/>
      <c r="B12" s="121" t="s">
        <v>102</v>
      </c>
      <c r="C12" s="122"/>
      <c r="D12" s="122"/>
      <c r="E12" s="122"/>
      <c r="F12" s="123"/>
      <c r="G12" s="70">
        <v>27770.810452269161</v>
      </c>
      <c r="H12" s="58" t="s">
        <v>3</v>
      </c>
      <c r="I12" s="1"/>
    </row>
    <row r="13" spans="1:9" x14ac:dyDescent="0.25">
      <c r="A13" s="1"/>
      <c r="B13" s="138" t="s">
        <v>233</v>
      </c>
      <c r="C13" s="133"/>
      <c r="D13" s="133"/>
      <c r="E13" s="133"/>
      <c r="F13" s="134"/>
      <c r="G13" s="70">
        <v>0</v>
      </c>
      <c r="H13" s="58" t="s">
        <v>3</v>
      </c>
      <c r="I13" s="1"/>
    </row>
    <row r="14" spans="1:9" x14ac:dyDescent="0.25">
      <c r="A14" s="1"/>
      <c r="B14" s="121" t="s">
        <v>54</v>
      </c>
      <c r="C14" s="122"/>
      <c r="D14" s="122"/>
      <c r="E14" s="122"/>
      <c r="F14" s="123"/>
      <c r="G14" s="57">
        <f>SUM(G11:G13)*'Fane 15. Nøgletal'!C22</f>
        <v>402244.09956137126</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27" t="s">
        <v>55</v>
      </c>
      <c r="C17" s="128"/>
      <c r="D17" s="128"/>
      <c r="E17" s="128"/>
      <c r="F17" s="128"/>
      <c r="G17" s="128"/>
      <c r="H17" s="129"/>
      <c r="I17" s="1"/>
    </row>
    <row r="18" spans="1:9" x14ac:dyDescent="0.25">
      <c r="A18" s="1"/>
      <c r="B18" s="121" t="s">
        <v>56</v>
      </c>
      <c r="C18" s="122"/>
      <c r="D18" s="122"/>
      <c r="E18" s="122"/>
      <c r="F18" s="123"/>
      <c r="G18" s="57">
        <f>(G11+G12+G13-G14)*(1+'Fane 15. Nøgletal'!C10)</f>
        <v>22714070.939639542</v>
      </c>
      <c r="H18" s="58" t="s">
        <v>3</v>
      </c>
      <c r="I18" s="1"/>
    </row>
    <row r="19" spans="1:9" x14ac:dyDescent="0.25">
      <c r="A19" s="1"/>
      <c r="B19" s="138" t="s">
        <v>234</v>
      </c>
      <c r="C19" s="133"/>
      <c r="D19" s="133"/>
      <c r="E19" s="133"/>
      <c r="F19" s="134"/>
      <c r="G19" s="70">
        <v>0</v>
      </c>
      <c r="H19" s="58" t="s">
        <v>3</v>
      </c>
      <c r="I19" s="1"/>
    </row>
    <row r="20" spans="1:9" x14ac:dyDescent="0.25">
      <c r="A20" s="1"/>
      <c r="B20" s="121" t="s">
        <v>57</v>
      </c>
      <c r="C20" s="122"/>
      <c r="D20" s="122"/>
      <c r="E20" s="122"/>
      <c r="F20" s="123"/>
      <c r="G20" s="57">
        <f>G18*'Fane 15. Nøgletal'!C22+G19*'Fane 15. Nøgletal'!C23</f>
        <v>402039.05563161994</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27" t="s">
        <v>130</v>
      </c>
      <c r="C23" s="128"/>
      <c r="D23" s="128"/>
      <c r="E23" s="128"/>
      <c r="F23" s="128"/>
      <c r="G23" s="128"/>
      <c r="H23" s="129"/>
      <c r="I23" s="1"/>
    </row>
    <row r="24" spans="1:9" x14ac:dyDescent="0.25">
      <c r="A24" s="1"/>
      <c r="B24" s="121" t="s">
        <v>58</v>
      </c>
      <c r="C24" s="122"/>
      <c r="D24" s="122"/>
      <c r="E24" s="122"/>
      <c r="F24" s="123"/>
      <c r="G24" s="57">
        <f>G18*(1-'Fane 15. Nøgletal'!C22)*(1+'Fane 15. Nøgletal'!C10)+G19*(1-'Fane 15. Nøgletal'!C23)*(1+'Fane 15. Nøgletal'!C11)</f>
        <v>22702492.44197806</v>
      </c>
      <c r="H24" s="58" t="s">
        <v>3</v>
      </c>
      <c r="I24" s="1"/>
    </row>
    <row r="25" spans="1:9" x14ac:dyDescent="0.25">
      <c r="A25" s="1"/>
      <c r="B25" s="124" t="s">
        <v>148</v>
      </c>
      <c r="C25" s="133"/>
      <c r="D25" s="133"/>
      <c r="E25" s="133"/>
      <c r="F25" s="134"/>
      <c r="G25" s="70">
        <f>G19*(1-'Fane 15. Nøgletal'!C23)*(1+'Fane 15. Nøgletal'!C11)</f>
        <v>0</v>
      </c>
      <c r="H25" s="58" t="s">
        <v>3</v>
      </c>
      <c r="I25" s="1"/>
    </row>
    <row r="26" spans="1:9" x14ac:dyDescent="0.25">
      <c r="A26" s="1"/>
      <c r="B26" s="138" t="s">
        <v>235</v>
      </c>
      <c r="C26" s="133"/>
      <c r="D26" s="133"/>
      <c r="E26" s="133"/>
      <c r="F26" s="134"/>
      <c r="G26" s="70">
        <v>169001.95720815001</v>
      </c>
      <c r="H26" s="58" t="s">
        <v>3</v>
      </c>
      <c r="I26" s="1"/>
    </row>
    <row r="27" spans="1:9" x14ac:dyDescent="0.25">
      <c r="A27" s="1"/>
      <c r="B27" s="121" t="s">
        <v>59</v>
      </c>
      <c r="C27" s="122"/>
      <c r="D27" s="122"/>
      <c r="E27" s="122"/>
      <c r="F27" s="123"/>
      <c r="G27" s="57">
        <f>(G24-G25)*'Fane 15. Nøgletal'!C23+G25*'Fane 15. Nøgletal'!C24+G26*'Fane 15. Nøgletal'!C25</f>
        <v>202159.23806843322</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27" t="s">
        <v>60</v>
      </c>
      <c r="C30" s="128"/>
      <c r="D30" s="128"/>
      <c r="E30" s="128"/>
      <c r="F30" s="128"/>
      <c r="G30" s="128"/>
      <c r="H30" s="129"/>
      <c r="I30" s="1"/>
    </row>
    <row r="31" spans="1:9" x14ac:dyDescent="0.25">
      <c r="A31" s="1"/>
      <c r="B31" s="121" t="s">
        <v>61</v>
      </c>
      <c r="C31" s="122"/>
      <c r="D31" s="122"/>
      <c r="E31" s="122"/>
      <c r="F31" s="123"/>
      <c r="G31" s="57">
        <f>(G24-G25)*(1-'Fane 15. Nøgletal'!C22)*(1+'Fane 15. Nøgletal'!C10)+G25*(1-'Fane 15. Nøgletal'!C23)*(1+'Fane 15. Nøgletal'!C11)+G26*(1-'Fane 15. Nøgletal'!C24)*(1+'Fane 15. Nøgletal'!C12)</f>
        <v>22858356.933421183</v>
      </c>
      <c r="H31" s="58" t="s">
        <v>3</v>
      </c>
      <c r="I31" s="1"/>
    </row>
    <row r="32" spans="1:9" x14ac:dyDescent="0.25">
      <c r="A32" s="1"/>
      <c r="B32" s="124" t="s">
        <v>149</v>
      </c>
      <c r="C32" s="133"/>
      <c r="D32" s="133"/>
      <c r="E32" s="133"/>
      <c r="F32" s="134"/>
      <c r="G32" s="70">
        <f>G25*(1-'Fane 15. Nøgletal'!C23)*(1+'Fane 15. Nøgletal'!C11)</f>
        <v>0</v>
      </c>
      <c r="H32" s="58" t="s">
        <v>3</v>
      </c>
      <c r="I32" s="1"/>
    </row>
    <row r="33" spans="1:9" x14ac:dyDescent="0.25">
      <c r="A33" s="1"/>
      <c r="B33" s="124" t="s">
        <v>97</v>
      </c>
      <c r="C33" s="133"/>
      <c r="D33" s="133"/>
      <c r="E33" s="133"/>
      <c r="F33" s="134"/>
      <c r="G33" s="57">
        <f>G26*(1-'Fane 15. Nøgletal'!C24)*(1+'Fane 15. Nøgletal'!C12)</f>
        <v>167437.08696542028</v>
      </c>
      <c r="H33" s="58" t="s">
        <v>3</v>
      </c>
      <c r="I33" s="1"/>
    </row>
    <row r="34" spans="1:9" x14ac:dyDescent="0.25">
      <c r="A34" s="1"/>
      <c r="B34" s="121" t="s">
        <v>236</v>
      </c>
      <c r="C34" s="122"/>
      <c r="D34" s="122"/>
      <c r="E34" s="122"/>
      <c r="F34" s="123"/>
      <c r="G34" s="70">
        <v>0</v>
      </c>
      <c r="H34" s="58" t="s">
        <v>3</v>
      </c>
      <c r="I34" s="1"/>
    </row>
    <row r="35" spans="1:9" x14ac:dyDescent="0.25">
      <c r="A35" s="1"/>
      <c r="B35" s="121" t="s">
        <v>62</v>
      </c>
      <c r="C35" s="122"/>
      <c r="D35" s="122"/>
      <c r="E35" s="122"/>
      <c r="F35" s="123"/>
      <c r="G35" s="57">
        <f>(G31-SUM(G32:G33))*'Fane 15. Nøgletal'!C22+G32*'Fane 15. Nøgletal'!C23+G33*'Fane 15. Nøgletal'!C24+G34*'Fane 15. Nøgletal'!C25</f>
        <v>406384.49455208494</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27" t="s">
        <v>125</v>
      </c>
      <c r="C38" s="128"/>
      <c r="D38" s="128"/>
      <c r="E38" s="128"/>
      <c r="F38" s="128"/>
      <c r="G38" s="128"/>
      <c r="H38" s="129"/>
      <c r="I38" s="1"/>
    </row>
    <row r="39" spans="1:9" x14ac:dyDescent="0.25">
      <c r="A39" s="1"/>
      <c r="B39" s="121" t="s">
        <v>150</v>
      </c>
      <c r="C39" s="122"/>
      <c r="D39" s="122"/>
      <c r="E39" s="122"/>
      <c r="F39" s="123"/>
      <c r="G39" s="57">
        <f>(SUM(G31,G34)-G35)*(1+'Fane 15. Nøgletal'!C14)</f>
        <v>22526063.947917368</v>
      </c>
      <c r="H39" s="58" t="s">
        <v>3</v>
      </c>
      <c r="I39" s="1"/>
    </row>
    <row r="40" spans="1:9" x14ac:dyDescent="0.25">
      <c r="A40" s="1"/>
      <c r="B40" s="121" t="s">
        <v>237</v>
      </c>
      <c r="C40" s="122"/>
      <c r="D40" s="122"/>
      <c r="E40" s="122"/>
      <c r="F40" s="123"/>
      <c r="G40" s="70">
        <v>0</v>
      </c>
      <c r="H40" s="58" t="s">
        <v>3</v>
      </c>
      <c r="I40" s="1"/>
    </row>
    <row r="41" spans="1:9" x14ac:dyDescent="0.25">
      <c r="A41" s="1"/>
      <c r="B41" s="121" t="s">
        <v>126</v>
      </c>
      <c r="C41" s="122"/>
      <c r="D41" s="122"/>
      <c r="E41" s="122"/>
      <c r="F41" s="123"/>
      <c r="G41" s="57">
        <f>(G39+G40)*'Fane 15. Nøgletal'!C26</f>
        <v>333385.74642917706</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27" t="s">
        <v>182</v>
      </c>
      <c r="C44" s="128"/>
      <c r="D44" s="128"/>
      <c r="E44" s="128"/>
      <c r="F44" s="128"/>
      <c r="G44" s="128"/>
      <c r="H44" s="129"/>
      <c r="I44" s="1"/>
    </row>
    <row r="45" spans="1:9" x14ac:dyDescent="0.25">
      <c r="A45" s="1"/>
      <c r="B45" s="121" t="s">
        <v>63</v>
      </c>
      <c r="C45" s="122"/>
      <c r="D45" s="122"/>
      <c r="E45" s="122"/>
      <c r="F45" s="123"/>
      <c r="G45" s="57">
        <f>(G39+G40-G41)*(1+'Fane 15. Nøgletal'!C14)</f>
        <v>22265914.039553102</v>
      </c>
      <c r="H45" s="58" t="s">
        <v>3</v>
      </c>
      <c r="I45" s="1"/>
    </row>
    <row r="46" spans="1:9" x14ac:dyDescent="0.25">
      <c r="A46" s="1"/>
      <c r="B46" s="124" t="s">
        <v>184</v>
      </c>
      <c r="C46" s="125"/>
      <c r="D46" s="125"/>
      <c r="E46" s="125"/>
      <c r="F46" s="126"/>
      <c r="G46" s="70">
        <v>0</v>
      </c>
      <c r="H46" s="58" t="s">
        <v>3</v>
      </c>
      <c r="I46" s="1"/>
    </row>
    <row r="47" spans="1:9" x14ac:dyDescent="0.25">
      <c r="A47" s="1"/>
      <c r="B47" s="121" t="s">
        <v>154</v>
      </c>
      <c r="C47" s="122"/>
      <c r="D47" s="122"/>
      <c r="E47" s="122"/>
      <c r="F47" s="123"/>
      <c r="G47" s="57">
        <f>G45*'Fane 15. Nøgletal'!C26+G46*'Fane 15. Nøgletal'!C27</f>
        <v>329535.5277853859</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5" t="s">
        <v>255</v>
      </c>
      <c r="C50" s="136"/>
      <c r="D50" s="136"/>
      <c r="E50" s="136"/>
      <c r="F50" s="136"/>
      <c r="G50" s="136"/>
      <c r="H50" s="137"/>
      <c r="I50" s="1"/>
    </row>
    <row r="51" spans="1:9" x14ac:dyDescent="0.25">
      <c r="A51" s="1"/>
      <c r="B51" s="121" t="s">
        <v>117</v>
      </c>
      <c r="C51" s="122"/>
      <c r="D51" s="122"/>
      <c r="E51" s="122"/>
      <c r="F51" s="123"/>
      <c r="G51" s="57">
        <f>(G45+G46-G47)*(1+'Fane 15. Nøgletal'!C16)</f>
        <v>23708837.895518545</v>
      </c>
      <c r="H51" s="58" t="s">
        <v>3</v>
      </c>
      <c r="I51" s="1"/>
    </row>
    <row r="52" spans="1:9" x14ac:dyDescent="0.25">
      <c r="A52" s="1"/>
      <c r="B52" s="124" t="s">
        <v>238</v>
      </c>
      <c r="C52" s="125"/>
      <c r="D52" s="125"/>
      <c r="E52" s="125"/>
      <c r="F52" s="126"/>
      <c r="G52" s="70">
        <f>('Fane 2.1. Økonomisk ramme 2024'!C11+'Fane 2.1. Økonomisk ramme 2024'!C13+'Fane 2.1. Økonomisk ramme 2024'!C15)*(1+'Fane 15. Nøgletal'!C16)</f>
        <v>0</v>
      </c>
      <c r="H52" s="58" t="s">
        <v>3</v>
      </c>
      <c r="I52" s="1"/>
    </row>
    <row r="53" spans="1:9" x14ac:dyDescent="0.25">
      <c r="A53" s="1"/>
      <c r="B53" s="121" t="s">
        <v>118</v>
      </c>
      <c r="C53" s="122"/>
      <c r="D53" s="122"/>
      <c r="E53" s="122"/>
      <c r="F53" s="123"/>
      <c r="G53" s="70">
        <f>SUM(G51:G52)*'Fane 15. Nøgletal'!C28</f>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27" t="s">
        <v>256</v>
      </c>
      <c r="C56" s="128"/>
      <c r="D56" s="128"/>
      <c r="E56" s="128"/>
      <c r="F56" s="128"/>
      <c r="G56" s="128"/>
      <c r="H56" s="129"/>
      <c r="I56" s="1"/>
    </row>
    <row r="57" spans="1:9" x14ac:dyDescent="0.25">
      <c r="A57" s="1"/>
      <c r="B57" s="121" t="s">
        <v>170</v>
      </c>
      <c r="C57" s="122"/>
      <c r="D57" s="122"/>
      <c r="E57" s="122"/>
      <c r="F57" s="123"/>
      <c r="G57" s="57">
        <f>(G51+G52-G53)*(1+'Fane 15. Nøgletal'!C16)</f>
        <v>25624511.997476444</v>
      </c>
      <c r="H57" s="58" t="s">
        <v>3</v>
      </c>
      <c r="I57" s="1"/>
    </row>
    <row r="58" spans="1:9" x14ac:dyDescent="0.25">
      <c r="A58" s="1"/>
      <c r="B58" s="121" t="s">
        <v>151</v>
      </c>
      <c r="C58" s="122"/>
      <c r="D58" s="122"/>
      <c r="E58" s="122"/>
      <c r="F58" s="123"/>
      <c r="G58" s="70">
        <f>(G57)*'Fane 15. Nøgletal'!C28</f>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27" t="s">
        <v>169</v>
      </c>
      <c r="C61" s="128"/>
      <c r="D61" s="128"/>
      <c r="E61" s="128"/>
      <c r="F61" s="128"/>
      <c r="G61" s="128"/>
      <c r="H61" s="129"/>
      <c r="I61" s="1"/>
    </row>
    <row r="62" spans="1:9" x14ac:dyDescent="0.25">
      <c r="A62" s="1"/>
      <c r="B62" s="121" t="s">
        <v>232</v>
      </c>
      <c r="C62" s="122"/>
      <c r="D62" s="122"/>
      <c r="E62" s="122"/>
      <c r="F62" s="123"/>
      <c r="G62" s="57">
        <f>(G57-G58)*(1+'Fane 15. Nøgletal'!C16)</f>
        <v>27694972.566872541</v>
      </c>
      <c r="H62" s="58" t="s">
        <v>3</v>
      </c>
      <c r="I62" s="1"/>
    </row>
    <row r="63" spans="1:9" x14ac:dyDescent="0.25">
      <c r="A63" s="1"/>
      <c r="B63" s="121" t="s">
        <v>171</v>
      </c>
      <c r="C63" s="122"/>
      <c r="D63" s="122"/>
      <c r="E63" s="122"/>
      <c r="F63" s="123"/>
      <c r="G63" s="70">
        <f>(G62)*'Fane 15. Nøgletal'!C28</f>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27" t="s">
        <v>229</v>
      </c>
      <c r="C66" s="128"/>
      <c r="D66" s="128"/>
      <c r="E66" s="128"/>
      <c r="F66" s="128"/>
      <c r="G66" s="128"/>
      <c r="H66" s="129"/>
      <c r="I66" s="1"/>
    </row>
    <row r="67" spans="1:9" x14ac:dyDescent="0.25">
      <c r="A67" s="1"/>
      <c r="B67" s="121" t="s">
        <v>230</v>
      </c>
      <c r="C67" s="122"/>
      <c r="D67" s="122"/>
      <c r="E67" s="122"/>
      <c r="F67" s="123"/>
      <c r="G67" s="57">
        <f>(G62-G63)*(1+'Fane 15. Nøgletal'!C16)</f>
        <v>29932726.350275841</v>
      </c>
      <c r="H67" s="58" t="s">
        <v>3</v>
      </c>
      <c r="I67" s="1"/>
    </row>
    <row r="68" spans="1:9" x14ac:dyDescent="0.25">
      <c r="A68" s="1"/>
      <c r="B68" s="121" t="s">
        <v>231</v>
      </c>
      <c r="C68" s="122"/>
      <c r="D68" s="122"/>
      <c r="E68" s="122"/>
      <c r="F68" s="123"/>
      <c r="G68" s="70">
        <f>(G67)*'Fane 15. Nøgletal'!C28</f>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LNNeQ/VDWJZV0rP68LzZBJEdkehn1mZ3ldyqba24Kjlax17xa8K/daytEPZTOGyMaGO50r02LZO5v1t5e19UsQ==" saltValue="/J/WXME1dLDQqQUZn1aOfw==" spinCount="100000" sheet="1" objects="1" scenarios="1"/>
  <mergeCells count="45">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45:F45"/>
    <mergeCell ref="B57:F57"/>
    <mergeCell ref="B58:F58"/>
    <mergeCell ref="B46:F46"/>
    <mergeCell ref="B51:F51"/>
    <mergeCell ref="B53:F53"/>
    <mergeCell ref="B50:H50"/>
    <mergeCell ref="B47:F47"/>
    <mergeCell ref="B66:H66"/>
    <mergeCell ref="B67:F67"/>
    <mergeCell ref="B68:F68"/>
    <mergeCell ref="B52:F52"/>
    <mergeCell ref="B56:H56"/>
    <mergeCell ref="B61:H61"/>
    <mergeCell ref="B62:F62"/>
    <mergeCell ref="B63:F63"/>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4" t="s">
        <v>72</v>
      </c>
      <c r="C3" s="114"/>
      <c r="D3" s="114"/>
      <c r="E3" s="114"/>
      <c r="F3" s="114"/>
      <c r="G3" s="114"/>
      <c r="H3" s="1"/>
    </row>
    <row r="4" spans="1:8" ht="15" customHeight="1" x14ac:dyDescent="0.25">
      <c r="A4" s="1"/>
      <c r="B4" s="114"/>
      <c r="C4" s="114"/>
      <c r="D4" s="114"/>
      <c r="E4" s="114"/>
      <c r="F4" s="114"/>
      <c r="G4" s="11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3" t="s">
        <v>278</v>
      </c>
      <c r="C9" s="144"/>
      <c r="D9" s="144"/>
      <c r="E9" s="144"/>
      <c r="F9" s="145"/>
      <c r="G9" s="173">
        <v>0</v>
      </c>
      <c r="H9" s="1"/>
    </row>
    <row r="10" spans="1:8" x14ac:dyDescent="0.25">
      <c r="A10" s="1"/>
      <c r="B10" s="30"/>
      <c r="C10" s="31"/>
      <c r="D10" s="31"/>
      <c r="E10" s="31"/>
      <c r="F10" s="31"/>
      <c r="G10" s="19"/>
      <c r="H10" s="1"/>
    </row>
    <row r="11" spans="1:8" ht="33" customHeight="1" x14ac:dyDescent="0.25">
      <c r="A11" s="1"/>
      <c r="B11" s="140" t="s">
        <v>269</v>
      </c>
      <c r="C11" s="141"/>
      <c r="D11" s="141"/>
      <c r="E11" s="141"/>
      <c r="F11" s="141"/>
      <c r="G11" s="14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SAwGjNZDD0hQ4QDU+dYW7OtxrHxntJ5qswmy9wwK6Ww2Kn2hmlT6ozFYChXqQ/qsNO/5yjkFFs+z5mLK2hmP5w==" saltValue="Th0VWqbbu0vMx3d88aReL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2023-09-06T10:47:35Z</dcterms:modified>
</cp:coreProperties>
</file>