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Frederiksberg Vand AS (V055)\ØR2025\"/>
    </mc:Choice>
  </mc:AlternateContent>
  <xr:revisionPtr revIDLastSave="0" documentId="13_ncr:1_{5B2F2D8B-857E-4A05-8533-0BB05B541B21}" xr6:coauthVersionLast="36" xr6:coauthVersionMax="36" xr10:uidLastSave="{00000000-0000-0000-0000-000000000000}"/>
  <bookViews>
    <workbookView xWindow="3105" yWindow="1005"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<sst xmlns="http://schemas.openxmlformats.org/spreadsheetml/2006/main" count="451" uniqueCount="207">
  <si>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</si>
  <si>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</si>
  <si>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</si>
  <si>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</si>
  <si>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</si>
  <si>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</si>
  <si>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</si>
  <si>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</si>
  <si>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</si>
  <si>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</si>
  <si>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</si>
  <si>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</si>
  <si>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</si>
  <si>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</si>
  <si>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</si>
  <si>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</si>
  <si>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</si>
  <si>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</si>
  <si>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</si>
  <si>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</si>
  <si>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</si>
  <si>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</si>
  <si>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</si>
  <si>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</si>
  <si>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</si>
  <si>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</si>
  <si>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</si>
  <si>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</si>
  <si>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</si>
  <si>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</si>
  <si>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</si>
  <si>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</si>
  <si>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</si>
  <si>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</si>
  <si>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</si>
  <si>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</si>
  <si>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</si>
  <si>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</si>
  <si>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</si>
  <si>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</si>
  <si>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</si>
  <si>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</si>
  <si>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</si>
  <si>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</si>
  <si>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</si>
  <si>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</si>
  <si>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</si>
  <si>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</si>
  <si>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</si>
  <si>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</si>
  <si>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</si>
  <si>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</si>
  <si>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</si>
  <si>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</si>
  <si>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</si>
  <si>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</si>
  <si>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</si>
  <si>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</si>
  <si>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</si>
  <si>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</si>
  <si>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</si>
  <si>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</si>
  <si>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</si>
  <si>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</si>
  <si>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</si>
  <si>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</si>
  <si>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</si>
  <si>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</si>
  <si>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</si>
  <si>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</si>
  <si>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</si>
  <si>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</si>
  <si>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</si>
  <si>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</si>
  <si>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</si>
  <si>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</si>
  <si>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</si>
  <si>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</si>
  <si>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</si>
  <si>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</si>
  <si>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</si>
  <si>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</si>
  <si>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</si>
  <si>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</si>
  <si>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</si>
  <si>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</si>
  <si>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</si>
  <si>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</si>
  <si>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</si>
  <si>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</si>
  <si>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</si>
  <si>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</si>
  <si>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</si>
  <si>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</si>
  <si>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</si>
  <si>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</si>
  <si>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</si>
  <si>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</si>
  <si>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</si>
  <si>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</si>
  <si>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</si>
  <si>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</si>
  <si>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</si>
  <si>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</si>
  <si>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</si>
  <si>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</si>
  <si>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</si>
  <si>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</si>
  <si>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</si>
  <si>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</si>
  <si>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</si>
  <si>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</si>
  <si>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</si>
  <si>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</si>
  <si>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</si>
  <si>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</si>
  <si>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</si>
  <si>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</si>
  <si>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</si>
  <si>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</si>
  <si>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</si>
  <si>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</si>
  <si>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</si>
  <si>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</si>
  <si>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</si>
  <si>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</si>
  <si>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</si>
  <si>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</si>
  <si>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</si>
  <si>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</si>
  <si>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</si>
  <si>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</si>
  <si>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</si>
  <si>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</si>
  <si>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</si>
  <si>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</si>
  <si>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</si>
  <si>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</si>
  <si>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</si>
  <si>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</si>
  <si>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</si>
  <si>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</si>
  <si>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</si>
  <si>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</si>
  <si>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</si>
  <si>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</si>
  <si>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</si>
  <si>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</si>
  <si>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</si>
  <si>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</si>
  <si>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</si>
  <si>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</si>
  <si>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</si>
  <si>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</si>
  <si>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</si>
  <si>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</si>
  <si>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</si>
  <si>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</si>
  <si>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</si>
  <si>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</si>
  <si>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</si>
  <si>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</si>
  <si>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</si>
  <si>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</si>
  <si>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</si>
  <si>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</si>
  <si>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</si>
  <si>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</si>
  <si>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</si>
  <si>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</si>
  <si>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</si>
  <si>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</si>
  <si>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</si>
  <si>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</si>
  <si>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</si>
  <si>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</si>
  <si>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</si>
  <si>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</si>
  <si>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</si>
  <si>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</si>
  <si>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</si>
  <si>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</si>
  <si>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</si>
  <si>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</si>
  <si>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</si>
  <si>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</si>
  <si>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</si>
  <si>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</si>
  <si>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</si>
  <si>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</si>
  <si>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</si>
  <si>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</si>
  <si>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</si>
  <si>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</si>
  <si>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</si>
  <si>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</si>
  <si>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</si>
  <si>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</si>
  <si>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</si>
  <si>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</si>
  <si>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Tjenestemandspensioner</t>
  </si>
  <si>
    <t>Gamle anlæg</t>
  </si>
  <si>
    <t>Sektionering</t>
  </si>
  <si>
    <t>Vandværk</t>
  </si>
  <si>
    <t>Omlægning af ledning</t>
  </si>
  <si>
    <t>Ingen engangstillæg</t>
  </si>
  <si>
    <t>Dispensation efter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</si>
</sst>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1" fontId="8" fillId="0"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8" t="s">
        <v>4</v>
      </c>
      <c r="D6" s="88"/>
      <c r="E6" s="88"/>
      <c r="F6" s="88"/>
      <c r="G6" s="1"/>
    </row>
    <row r="7" spans="1:7" ht="15" customHeight="1" x14ac:dyDescent="0.25">
      <c r="A7" s="1"/>
      <c r="B7" s="3"/>
      <c r="C7" s="88"/>
      <c r="D7" s="88"/>
      <c r="E7" s="88"/>
      <c r="F7" s="88"/>
      <c r="G7" s="1"/>
    </row>
    <row r="8" spans="1:7" ht="15.75" x14ac:dyDescent="0.25">
      <c r="A8" s="1"/>
      <c r="B8" s="4"/>
      <c r="C8" s="90" t="s">
        <v>195</v>
      </c>
      <c r="D8" s="90"/>
      <c r="E8" s="90"/>
      <c r="F8" s="90"/>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9" t="s">
        <v>5</v>
      </c>
      <c r="D11" s="89"/>
      <c r="E11" s="89"/>
      <c r="F11" s="89"/>
      <c r="G11" s="1"/>
    </row>
    <row r="12" spans="1:7" x14ac:dyDescent="0.25">
      <c r="A12" s="1"/>
      <c r="B12" s="1"/>
      <c r="C12" s="1"/>
      <c r="D12" s="1"/>
      <c r="E12" s="1"/>
      <c r="F12" s="1"/>
      <c r="G12" s="1"/>
    </row>
    <row r="13" spans="1:7" x14ac:dyDescent="0.25">
      <c r="A13" s="1"/>
      <c r="B13" s="6" t="s">
        <v>6</v>
      </c>
      <c r="C13" s="85" t="s">
        <v>123</v>
      </c>
      <c r="D13" s="86"/>
      <c r="E13" s="86"/>
      <c r="F13" s="87"/>
      <c r="G13" s="1"/>
    </row>
    <row r="14" spans="1:7" x14ac:dyDescent="0.25">
      <c r="A14" s="1"/>
      <c r="B14" s="6" t="s">
        <v>14</v>
      </c>
      <c r="C14" s="85" t="s">
        <v>158</v>
      </c>
      <c r="D14" s="86"/>
      <c r="E14" s="86"/>
      <c r="F14" s="87"/>
      <c r="G14" s="1"/>
    </row>
    <row r="15" spans="1:7" x14ac:dyDescent="0.25">
      <c r="A15" s="1"/>
      <c r="B15" s="6" t="s">
        <v>28</v>
      </c>
      <c r="C15" s="85" t="s">
        <v>106</v>
      </c>
      <c r="D15" s="86"/>
      <c r="E15" s="86"/>
      <c r="F15" s="87"/>
      <c r="G15" s="1"/>
    </row>
    <row r="16" spans="1:7" x14ac:dyDescent="0.25">
      <c r="A16" s="1"/>
      <c r="B16" s="6" t="s">
        <v>29</v>
      </c>
      <c r="C16" s="85" t="s">
        <v>124</v>
      </c>
      <c r="D16" s="86"/>
      <c r="E16" s="86"/>
      <c r="F16" s="87"/>
      <c r="G16" s="1"/>
    </row>
    <row r="17" spans="1:7" x14ac:dyDescent="0.25">
      <c r="A17" s="1"/>
      <c r="B17" s="6" t="s">
        <v>56</v>
      </c>
      <c r="C17" s="85" t="s">
        <v>125</v>
      </c>
      <c r="D17" s="86"/>
      <c r="E17" s="86"/>
      <c r="F17" s="87"/>
      <c r="G17" s="1"/>
    </row>
    <row r="18" spans="1:7" x14ac:dyDescent="0.25">
      <c r="A18" s="1"/>
      <c r="B18" s="6" t="s">
        <v>48</v>
      </c>
      <c r="C18" s="91" t="s">
        <v>41</v>
      </c>
      <c r="D18" s="92"/>
      <c r="E18" s="92"/>
      <c r="F18" s="93"/>
      <c r="G18" s="1"/>
    </row>
    <row r="19" spans="1:7" x14ac:dyDescent="0.25">
      <c r="A19" s="1"/>
      <c r="B19" s="6" t="s">
        <v>49</v>
      </c>
      <c r="C19" s="91" t="s">
        <v>42</v>
      </c>
      <c r="D19" s="92"/>
      <c r="E19" s="92"/>
      <c r="F19" s="93"/>
      <c r="G19" s="1"/>
    </row>
    <row r="20" spans="1:7" x14ac:dyDescent="0.25">
      <c r="A20" s="1"/>
      <c r="B20" s="6" t="s">
        <v>7</v>
      </c>
      <c r="C20" s="91" t="s">
        <v>9</v>
      </c>
      <c r="D20" s="92"/>
      <c r="E20" s="92"/>
      <c r="F20" s="93"/>
      <c r="G20" s="1"/>
    </row>
    <row r="21" spans="1:7" x14ac:dyDescent="0.25">
      <c r="A21" s="1"/>
      <c r="B21" s="6" t="s">
        <v>50</v>
      </c>
      <c r="C21" s="82" t="s">
        <v>11</v>
      </c>
      <c r="D21" s="83"/>
      <c r="E21" s="83"/>
      <c r="F21" s="84"/>
      <c r="G21" s="1"/>
    </row>
    <row r="22" spans="1:7" x14ac:dyDescent="0.25">
      <c r="A22" s="1"/>
      <c r="B22" s="6" t="s">
        <v>36</v>
      </c>
      <c r="C22" s="76" t="s">
        <v>126</v>
      </c>
      <c r="D22" s="77"/>
      <c r="E22" s="77"/>
      <c r="F22" s="78"/>
      <c r="G22" s="1"/>
    </row>
    <row r="23" spans="1:7" x14ac:dyDescent="0.25">
      <c r="A23" s="1"/>
      <c r="B23" s="6" t="s">
        <v>8</v>
      </c>
      <c r="C23" s="76" t="s">
        <v>88</v>
      </c>
      <c r="D23" s="77"/>
      <c r="E23" s="77"/>
      <c r="F23" s="78"/>
      <c r="G23" s="1"/>
    </row>
    <row r="24" spans="1:7" x14ac:dyDescent="0.25">
      <c r="A24" s="1"/>
      <c r="B24" s="6" t="s">
        <v>84</v>
      </c>
      <c r="C24" s="76" t="s">
        <v>77</v>
      </c>
      <c r="D24" s="77"/>
      <c r="E24" s="77"/>
      <c r="F24" s="78"/>
      <c r="G24" s="1"/>
    </row>
    <row r="25" spans="1:7" x14ac:dyDescent="0.25">
      <c r="A25" s="1"/>
      <c r="B25" s="6" t="s">
        <v>85</v>
      </c>
      <c r="C25" s="76" t="s">
        <v>37</v>
      </c>
      <c r="D25" s="77"/>
      <c r="E25" s="77"/>
      <c r="F25" s="78"/>
      <c r="G25" s="1"/>
    </row>
    <row r="26" spans="1:7" x14ac:dyDescent="0.25">
      <c r="A26" s="1"/>
      <c r="B26" s="6" t="s">
        <v>86</v>
      </c>
      <c r="C26" s="76" t="s">
        <v>38</v>
      </c>
      <c r="D26" s="77"/>
      <c r="E26" s="77"/>
      <c r="F26" s="78"/>
      <c r="G26" s="1"/>
    </row>
    <row r="27" spans="1:7" x14ac:dyDescent="0.25">
      <c r="A27" s="1"/>
      <c r="B27" s="6" t="s">
        <v>51</v>
      </c>
      <c r="C27" s="76" t="s">
        <v>57</v>
      </c>
      <c r="D27" s="77"/>
      <c r="E27" s="77"/>
      <c r="F27" s="78"/>
      <c r="G27" s="1"/>
    </row>
    <row r="28" spans="1:7" x14ac:dyDescent="0.25">
      <c r="A28" s="1"/>
      <c r="B28" s="6" t="s">
        <v>45</v>
      </c>
      <c r="C28" s="76" t="s">
        <v>30</v>
      </c>
      <c r="D28" s="77"/>
      <c r="E28" s="77"/>
      <c r="F28" s="78"/>
      <c r="G28" s="1"/>
    </row>
    <row r="29" spans="1:7" x14ac:dyDescent="0.25">
      <c r="A29" s="1"/>
      <c r="B29" s="6" t="s">
        <v>87</v>
      </c>
      <c r="C29" s="79" t="s">
        <v>46</v>
      </c>
      <c r="D29" s="80"/>
      <c r="E29" s="80"/>
      <c r="F29" s="8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jrfu+NMWKw0jJlgyLDhHYOJDq0rZZdtPSSi6H77upi+l2qPk8x3vywPnDhUSMOtyOaqr3zwtvWB9oHm4NOtVrA==" saltValue="EeBiAkIrhP+1kAncaPnu1g=="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42578125" style="2" customWidth="1"/>
    <col min="2" max="2" width="58.42578125" style="2" customWidth="1"/>
    <col min="3" max="3" width="12.5703125" style="2" customWidth="1"/>
    <col min="4" max="4" width="3.140625" style="2" customWidth="1"/>
    <col min="5" max="5" width="5.425781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54</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141</v>
      </c>
      <c r="C8" s="99"/>
      <c r="D8" s="100"/>
      <c r="E8" s="1"/>
    </row>
    <row r="9" spans="1:5" ht="15" customHeight="1" x14ac:dyDescent="0.25">
      <c r="A9" s="1"/>
      <c r="B9" s="51" t="s">
        <v>27</v>
      </c>
      <c r="C9" s="45" t="s">
        <v>144</v>
      </c>
      <c r="D9" s="11"/>
      <c r="E9" s="1"/>
    </row>
    <row r="10" spans="1:5" ht="15" customHeight="1" x14ac:dyDescent="0.25">
      <c r="A10" s="1"/>
      <c r="B10" s="64" t="s">
        <v>196</v>
      </c>
      <c r="C10" s="65">
        <v>30175142</v>
      </c>
      <c r="D10" s="14" t="s">
        <v>3</v>
      </c>
      <c r="E10" s="1"/>
    </row>
    <row r="11" spans="1:5" x14ac:dyDescent="0.25">
      <c r="A11" s="1"/>
      <c r="B11" s="64" t="s">
        <v>197</v>
      </c>
      <c r="C11" s="65">
        <v>146665</v>
      </c>
      <c r="D11" s="14" t="s">
        <v>3</v>
      </c>
      <c r="E11" s="1"/>
    </row>
    <row r="12" spans="1:5" ht="25.5" x14ac:dyDescent="0.25">
      <c r="A12" s="1"/>
      <c r="B12" s="64" t="s">
        <v>198</v>
      </c>
      <c r="C12" s="65">
        <v>10018151</v>
      </c>
      <c r="D12" s="14" t="s">
        <v>3</v>
      </c>
      <c r="E12" s="1"/>
    </row>
    <row r="13" spans="1:5" x14ac:dyDescent="0.25">
      <c r="A13" s="1"/>
      <c r="B13" s="64" t="s">
        <v>199</v>
      </c>
      <c r="C13" s="65">
        <v>592284</v>
      </c>
      <c r="D13" s="14" t="s">
        <v>3</v>
      </c>
      <c r="E13" s="1"/>
    </row>
    <row r="14" spans="1:5" x14ac:dyDescent="0.25">
      <c r="A14" s="1"/>
      <c r="B14" s="64" t="s">
        <v>200</v>
      </c>
      <c r="C14" s="65">
        <v>120613</v>
      </c>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142</v>
      </c>
      <c r="C19" s="12">
        <f>SUM(C10:C18)</f>
        <v>41052855</v>
      </c>
      <c r="D19" s="13" t="s">
        <v>3</v>
      </c>
      <c r="E19" s="1"/>
    </row>
    <row r="20" spans="1:5" x14ac:dyDescent="0.25">
      <c r="A20" s="1"/>
      <c r="B20" s="52" t="s">
        <v>143</v>
      </c>
      <c r="C20" s="12">
        <f>C19*(1+'Fane 13. Nøgletal'!C11)^2</f>
        <v>46676919.197194949</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uEvRR2w6y5RJMlDuv7cZ7MTqu9lyRqZXMcppJObNmBVIOKpnEW2dABN6/bJ9QKKKgs+P0zfg+UnGns2deRp6g==" saltValue="VJZqyjoxmCPXjfiGDRaTz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42578125" style="2" customWidth="1"/>
    <col min="2" max="2" width="56.42578125" style="2" customWidth="1"/>
    <col min="3" max="3" width="11.5703125" style="2" customWidth="1"/>
    <col min="4" max="4" width="3.140625" style="2" customWidth="1"/>
    <col min="5" max="5" width="5.425781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171</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1"/>
      <c r="D7" s="1"/>
      <c r="E7" s="1"/>
    </row>
    <row r="8" spans="1:5" x14ac:dyDescent="0.25">
      <c r="A8" s="1"/>
      <c r="B8" s="98" t="s">
        <v>174</v>
      </c>
      <c r="C8" s="99"/>
      <c r="D8" s="100"/>
      <c r="E8" s="1"/>
    </row>
    <row r="9" spans="1:5" x14ac:dyDescent="0.25">
      <c r="A9" s="1"/>
      <c r="B9" s="56" t="s">
        <v>175</v>
      </c>
      <c r="C9" s="9">
        <v>1781712.0255374163</v>
      </c>
      <c r="D9" s="39" t="s">
        <v>3</v>
      </c>
      <c r="E9" s="1"/>
    </row>
    <row r="10" spans="1:5" x14ac:dyDescent="0.25">
      <c r="A10" s="1"/>
      <c r="B10" s="56" t="s">
        <v>173</v>
      </c>
      <c r="C10" s="9">
        <v>-4779923.1402747333</v>
      </c>
      <c r="D10" s="14" t="s">
        <v>3</v>
      </c>
      <c r="E10" s="1"/>
    </row>
    <row r="11" spans="1:5" x14ac:dyDescent="0.25">
      <c r="A11" s="1"/>
      <c r="B11" s="52"/>
      <c r="C11" s="53"/>
      <c r="D11" s="19"/>
      <c r="E11" s="1"/>
    </row>
    <row r="12" spans="1:5" ht="53.85" customHeight="1" x14ac:dyDescent="0.25">
      <c r="A12" s="1"/>
      <c r="B12" s="107" t="s">
        <v>172</v>
      </c>
      <c r="C12" s="108"/>
      <c r="D12" s="109"/>
      <c r="E12" s="1"/>
    </row>
    <row r="13" spans="1:5" x14ac:dyDescent="0.25">
      <c r="A13" s="1"/>
      <c r="B13" s="1"/>
      <c r="C13" s="1"/>
      <c r="D13" s="1"/>
      <c r="E13" s="1"/>
    </row>
    <row r="14" spans="1:5" x14ac:dyDescent="0.25">
      <c r="A14" s="1"/>
      <c r="B14" s="69" t="s">
        <v>176</v>
      </c>
      <c r="C14" s="70"/>
      <c r="D14" s="71"/>
      <c r="E14" s="1"/>
    </row>
    <row r="15" spans="1:5" x14ac:dyDescent="0.25">
      <c r="A15" s="1"/>
      <c r="B15" s="56" t="s">
        <v>177</v>
      </c>
      <c r="C15" s="9">
        <f>IF(C10&lt;0,C10,0)</f>
        <v>-4779923.1402747333</v>
      </c>
      <c r="D15" s="14" t="s">
        <v>3</v>
      </c>
      <c r="E15" s="1"/>
    </row>
    <row r="16" spans="1:5" x14ac:dyDescent="0.25">
      <c r="A16" s="1"/>
      <c r="B16" s="56" t="s">
        <v>184</v>
      </c>
      <c r="C16" s="9">
        <f>IF(SUM(C9)&gt;0,SUM(C9),0)</f>
        <v>1781712.0255374163</v>
      </c>
      <c r="D16" s="14" t="s">
        <v>3</v>
      </c>
      <c r="E16" s="1"/>
    </row>
    <row r="17" spans="1:5" ht="26.25" x14ac:dyDescent="0.25">
      <c r="A17" s="1"/>
      <c r="B17" s="72" t="s">
        <v>178</v>
      </c>
      <c r="C17" s="62">
        <f>IF(SUM(C15:C16)&gt;0,0,SUM(C15:C16))</f>
        <v>-2998211.114737317</v>
      </c>
      <c r="D17" s="17" t="s">
        <v>3</v>
      </c>
      <c r="E17" s="1"/>
    </row>
    <row r="18" spans="1:5" x14ac:dyDescent="0.25">
      <c r="A18" s="1"/>
      <c r="B18" s="52"/>
      <c r="C18" s="53"/>
      <c r="D18" s="19"/>
      <c r="E18" s="1"/>
    </row>
    <row r="19" spans="1:5" x14ac:dyDescent="0.25">
      <c r="A19" s="1"/>
      <c r="B19" s="1"/>
      <c r="C19" s="1"/>
      <c r="D19" s="1"/>
      <c r="E19" s="1"/>
    </row>
    <row r="20" spans="1:5" x14ac:dyDescent="0.25">
      <c r="A20" s="1"/>
      <c r="B20" s="69" t="s">
        <v>179</v>
      </c>
      <c r="C20" s="70"/>
      <c r="D20" s="71"/>
      <c r="E20" s="1"/>
    </row>
    <row r="21" spans="1:5" x14ac:dyDescent="0.25">
      <c r="A21" s="1"/>
      <c r="B21" s="56" t="s">
        <v>180</v>
      </c>
      <c r="C21" s="9">
        <v>93256053.353627801</v>
      </c>
      <c r="D21" s="14" t="s">
        <v>3</v>
      </c>
      <c r="E21" s="1"/>
    </row>
    <row r="22" spans="1:5" x14ac:dyDescent="0.25">
      <c r="A22" s="1"/>
      <c r="B22" s="56" t="s">
        <v>181</v>
      </c>
      <c r="C22" s="9">
        <v>98707982</v>
      </c>
      <c r="D22" s="14" t="s">
        <v>3</v>
      </c>
      <c r="E22" s="1"/>
    </row>
    <row r="23" spans="1:5" x14ac:dyDescent="0.25">
      <c r="A23" s="1"/>
      <c r="B23" s="56" t="s">
        <v>206</v>
      </c>
      <c r="C23" s="9">
        <v>4195173</v>
      </c>
      <c r="D23" s="14" t="s">
        <v>3</v>
      </c>
      <c r="E23" s="1"/>
    </row>
    <row r="24" spans="1:5" x14ac:dyDescent="0.25">
      <c r="A24" s="1"/>
      <c r="B24" s="74" t="s">
        <v>182</v>
      </c>
      <c r="C24" s="46">
        <f>C21-C22+C23</f>
        <v>-1256755.6463721991</v>
      </c>
      <c r="D24" s="17" t="s">
        <v>3</v>
      </c>
      <c r="E24" s="1"/>
    </row>
    <row r="25" spans="1:5" x14ac:dyDescent="0.25">
      <c r="A25" s="1"/>
      <c r="B25" s="52"/>
      <c r="C25" s="53"/>
      <c r="D25" s="19"/>
      <c r="E25" s="1"/>
    </row>
    <row r="26" spans="1:5" x14ac:dyDescent="0.25">
      <c r="A26" s="1"/>
      <c r="B26" s="1"/>
      <c r="C26" s="1"/>
      <c r="D26" s="1"/>
      <c r="E26" s="1"/>
    </row>
    <row r="27" spans="1:5" x14ac:dyDescent="0.25">
      <c r="A27" s="1"/>
      <c r="B27" s="98" t="s">
        <v>183</v>
      </c>
      <c r="C27" s="99"/>
      <c r="D27" s="100"/>
      <c r="E27" s="1"/>
    </row>
    <row r="28" spans="1:5" x14ac:dyDescent="0.25">
      <c r="A28" s="1"/>
      <c r="B28" s="57" t="s">
        <v>64</v>
      </c>
      <c r="C28" s="9">
        <f>IF(C17&lt;0,IF(C24&lt;0,SUM(C17,C24),IF(C9&gt;0,SUM(C9:C10),C17)),IF(AND(C24&lt;0,SUM(C24,C10)&lt;0),IF(C10&lt;0,C24,IF(SUM(C9:C10)&gt;0,SUM(C24,C10),IF(AND(C24&lt;0,C17=0,C10&gt;0),IF(SUM(C9:C10)&gt;0,C24+C10,C24)))),IF(AND(SUM(C9:C10)&lt;0,C17=0,C24&lt;0),C24,0)))</f>
        <v>-4254966.761109516</v>
      </c>
      <c r="D28" s="14" t="s">
        <v>3</v>
      </c>
      <c r="E28" s="1"/>
    </row>
    <row r="29" spans="1:5" x14ac:dyDescent="0.25">
      <c r="A29" s="1"/>
      <c r="B29" s="57" t="s">
        <v>47</v>
      </c>
      <c r="C29" s="9">
        <v>2</v>
      </c>
      <c r="D29" s="14" t="s">
        <v>18</v>
      </c>
      <c r="E29" s="1"/>
    </row>
    <row r="30" spans="1:5" x14ac:dyDescent="0.25">
      <c r="A30" s="1"/>
      <c r="B30" s="58" t="s">
        <v>63</v>
      </c>
      <c r="C30" s="10">
        <f>C28/C29</f>
        <v>-2127483.380554758</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2c53ZEhpiX0QIS2ZKPmtkYy3PVkIa9fWA7MSuvd/DGz4E6epqKnvxc6zOTGpMeIpwYhZeOQY2Dd+NYbJ5zyenQ==" saltValue="Rr+gDxcOwkbBfe/wsceLRw=="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42578125" style="30" customWidth="1"/>
    <col min="2" max="2" width="57.140625" style="30" customWidth="1"/>
    <col min="3" max="3" width="12.5703125" style="30" customWidth="1"/>
    <col min="4" max="4" width="3.140625" style="30" customWidth="1"/>
    <col min="5" max="5" width="5.425781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95</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96</v>
      </c>
      <c r="C8" s="99"/>
      <c r="D8" s="100"/>
      <c r="E8" s="1"/>
    </row>
    <row r="9" spans="1:5" ht="15" customHeight="1" x14ac:dyDescent="0.25">
      <c r="A9" s="1"/>
      <c r="B9" s="113" t="s">
        <v>122</v>
      </c>
      <c r="C9" s="114"/>
      <c r="D9" s="115"/>
      <c r="E9" s="1"/>
    </row>
    <row r="10" spans="1:5" x14ac:dyDescent="0.25">
      <c r="A10" s="1"/>
      <c r="B10" s="59" t="s">
        <v>97</v>
      </c>
      <c r="C10" s="41"/>
      <c r="D10" s="9" t="s">
        <v>3</v>
      </c>
      <c r="E10" s="1"/>
    </row>
    <row r="11" spans="1:5" x14ac:dyDescent="0.25">
      <c r="A11" s="1"/>
      <c r="B11" s="59" t="s">
        <v>98</v>
      </c>
      <c r="C11" s="41"/>
      <c r="D11" s="9" t="s">
        <v>3</v>
      </c>
      <c r="E11" s="1"/>
    </row>
    <row r="12" spans="1:5" x14ac:dyDescent="0.25">
      <c r="A12" s="1"/>
      <c r="B12" s="59" t="s">
        <v>99</v>
      </c>
      <c r="C12" s="9"/>
      <c r="D12" s="9" t="s">
        <v>3</v>
      </c>
      <c r="E12" s="1"/>
    </row>
    <row r="13" spans="1:5" x14ac:dyDescent="0.25">
      <c r="A13" s="1"/>
      <c r="B13" s="59" t="s">
        <v>100</v>
      </c>
      <c r="C13" s="9"/>
      <c r="D13" s="9" t="s">
        <v>3</v>
      </c>
      <c r="E13" s="1"/>
    </row>
    <row r="14" spans="1:5" x14ac:dyDescent="0.25">
      <c r="A14" s="1"/>
      <c r="B14" s="59" t="s">
        <v>101</v>
      </c>
      <c r="C14" s="9"/>
      <c r="D14" s="9" t="s">
        <v>3</v>
      </c>
      <c r="E14" s="1"/>
    </row>
    <row r="15" spans="1:5" x14ac:dyDescent="0.25">
      <c r="A15" s="1"/>
      <c r="B15" s="59" t="s">
        <v>102</v>
      </c>
      <c r="C15" s="9"/>
      <c r="D15" s="9" t="s">
        <v>3</v>
      </c>
      <c r="E15" s="1"/>
    </row>
    <row r="16" spans="1:5" x14ac:dyDescent="0.25">
      <c r="A16" s="1"/>
      <c r="B16" s="59" t="s">
        <v>103</v>
      </c>
      <c r="C16" s="9"/>
      <c r="D16" s="9" t="s">
        <v>3</v>
      </c>
      <c r="E16" s="1"/>
    </row>
    <row r="17" spans="1:5" x14ac:dyDescent="0.25">
      <c r="A17" s="1"/>
      <c r="B17" s="59" t="s">
        <v>104</v>
      </c>
      <c r="C17" s="9"/>
      <c r="D17" s="9" t="s">
        <v>3</v>
      </c>
      <c r="E17" s="1"/>
    </row>
    <row r="18" spans="1:5" x14ac:dyDescent="0.25">
      <c r="A18" s="1"/>
      <c r="B18" s="69" t="s">
        <v>105</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C2kYbhL30CKAbZlKYc+JQKszey/caR6pqjcd4YDoAbjgra/JqCsRemLqABvNqfq/4epJ6qKn36XPhHNT2DItrQ==" saltValue="rOowsd9TAJLPYVSgkrhrZw=="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42578125" style="2" customWidth="1"/>
    <col min="2" max="2" width="23.5703125" style="2" customWidth="1"/>
    <col min="3" max="3" width="7.5703125" style="2" customWidth="1"/>
    <col min="4" max="4" width="9.5703125" style="2" customWidth="1"/>
    <col min="5" max="5" width="3.42578125" style="2" customWidth="1"/>
    <col min="6" max="6" width="9.5703125" style="2" customWidth="1"/>
    <col min="7" max="7" width="3.42578125" style="2" customWidth="1"/>
    <col min="8" max="8" width="9.5703125" style="2" customWidth="1"/>
    <col min="9" max="9" width="3.42578125" style="2" customWidth="1"/>
    <col min="10" max="10" width="9.5703125" style="2" customWidth="1"/>
    <col min="11" max="11" width="3.42578125" style="2" customWidth="1"/>
    <col min="12" max="12" width="5.425781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89</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73</v>
      </c>
      <c r="C8" s="99"/>
      <c r="D8" s="99"/>
      <c r="E8" s="99"/>
      <c r="F8" s="99"/>
      <c r="G8" s="99"/>
      <c r="H8" s="99"/>
      <c r="I8" s="99"/>
      <c r="J8" s="99"/>
      <c r="K8" s="100"/>
      <c r="L8" s="1"/>
    </row>
    <row r="9" spans="1:12" ht="39.75" customHeight="1" x14ac:dyDescent="0.25">
      <c r="A9" s="1"/>
      <c r="B9" s="18" t="s">
        <v>0</v>
      </c>
      <c r="C9" s="18" t="s">
        <v>1</v>
      </c>
      <c r="D9" s="116" t="s">
        <v>82</v>
      </c>
      <c r="E9" s="117"/>
      <c r="F9" s="116" t="s">
        <v>2</v>
      </c>
      <c r="G9" s="117"/>
      <c r="H9" s="116" t="s">
        <v>83</v>
      </c>
      <c r="I9" s="117"/>
      <c r="J9" s="116" t="s">
        <v>25</v>
      </c>
      <c r="K9" s="117"/>
      <c r="L9" s="1"/>
    </row>
    <row r="10" spans="1:12" x14ac:dyDescent="0.25">
      <c r="A10" s="1"/>
      <c r="B10" s="59" t="s">
        <v>191</v>
      </c>
      <c r="C10" s="48">
        <v>0</v>
      </c>
      <c r="D10" s="9">
        <v>0</v>
      </c>
      <c r="E10" s="14" t="s">
        <v>3</v>
      </c>
      <c r="F10" s="61">
        <f>IFERROR(D10/C10,0)</f>
        <v>0</v>
      </c>
      <c r="G10" s="14" t="s">
        <v>3</v>
      </c>
      <c r="H10" s="9">
        <v>0</v>
      </c>
      <c r="I10" s="14" t="s">
        <v>3</v>
      </c>
      <c r="J10" s="9">
        <v>0</v>
      </c>
      <c r="K10" s="14" t="s">
        <v>3</v>
      </c>
      <c r="L10" s="1"/>
    </row>
    <row r="11" spans="1:12" x14ac:dyDescent="0.25">
      <c r="A11" s="1"/>
      <c r="B11" s="52" t="s">
        <v>145</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aEf1z6MBbsKCXZZlaCN4ySjIiH6+f7E/7pOW8Jv+UHQXjZFEuVZia8ZAd03SgrsUugDro2u/NbsjranAOgnegQ==" saltValue="M3bl5L8vuYBoOPzNvHnMm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425781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42578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90</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33</v>
      </c>
      <c r="C8" s="53"/>
      <c r="D8" s="53"/>
      <c r="E8" s="53"/>
      <c r="F8" s="19"/>
      <c r="G8" s="1"/>
    </row>
    <row r="9" spans="1:7" ht="17.25" customHeight="1" x14ac:dyDescent="0.25">
      <c r="A9" s="1"/>
      <c r="B9" s="72" t="s">
        <v>15</v>
      </c>
      <c r="C9" s="74" t="s">
        <v>10</v>
      </c>
      <c r="D9" s="73"/>
      <c r="E9" s="74" t="s">
        <v>26</v>
      </c>
      <c r="F9" s="27"/>
      <c r="G9" s="1"/>
    </row>
    <row r="10" spans="1:7" x14ac:dyDescent="0.25">
      <c r="A10" s="1"/>
      <c r="B10" s="23" t="s">
        <v>76</v>
      </c>
      <c r="C10" s="21">
        <f>'Fane 9. Anlægsprojekter (§ 19) '!H11</f>
        <v>0</v>
      </c>
      <c r="D10" s="14" t="s">
        <v>3</v>
      </c>
      <c r="E10" s="9">
        <f>'Fane 9. Anlægsprojekter (§ 19) '!F11+'Fane 9. Anlægsprojekter (§ 19) '!J11</f>
        <v>0</v>
      </c>
      <c r="F10" s="14" t="s">
        <v>3</v>
      </c>
      <c r="G10" s="1"/>
    </row>
    <row r="11" spans="1:7" x14ac:dyDescent="0.25">
      <c r="A11" s="1"/>
      <c r="B11" s="26" t="s">
        <v>201</v>
      </c>
      <c r="C11" s="21">
        <v>0</v>
      </c>
      <c r="D11" s="14" t="s">
        <v>3</v>
      </c>
      <c r="E11" s="9">
        <v>170022</v>
      </c>
      <c r="F11" s="14" t="s">
        <v>3</v>
      </c>
      <c r="G11" s="1"/>
    </row>
    <row r="12" spans="1:7" x14ac:dyDescent="0.25">
      <c r="A12" s="1"/>
      <c r="B12" s="26" t="s">
        <v>202</v>
      </c>
      <c r="C12" s="21">
        <v>0</v>
      </c>
      <c r="D12" s="14" t="s">
        <v>3</v>
      </c>
      <c r="E12" s="9">
        <v>62228</v>
      </c>
      <c r="F12" s="14" t="s">
        <v>3</v>
      </c>
      <c r="G12" s="1"/>
    </row>
    <row r="13" spans="1:7" x14ac:dyDescent="0.25">
      <c r="A13" s="1"/>
      <c r="B13" s="26" t="s">
        <v>203</v>
      </c>
      <c r="C13" s="21">
        <v>9881184</v>
      </c>
      <c r="D13" s="14" t="s">
        <v>3</v>
      </c>
      <c r="E13" s="9">
        <v>822542</v>
      </c>
      <c r="F13" s="14" t="s">
        <v>3</v>
      </c>
      <c r="G13" s="1"/>
    </row>
    <row r="14" spans="1:7" x14ac:dyDescent="0.25">
      <c r="A14" s="1"/>
      <c r="B14" s="26" t="s">
        <v>204</v>
      </c>
      <c r="C14" s="21">
        <v>0</v>
      </c>
      <c r="D14" s="14" t="s">
        <v>3</v>
      </c>
      <c r="E14" s="9">
        <v>27666</v>
      </c>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111</v>
      </c>
      <c r="C17" s="12">
        <f>SUM(C10:C16)</f>
        <v>9881184</v>
      </c>
      <c r="D17" s="13" t="s">
        <v>3</v>
      </c>
      <c r="E17" s="12">
        <f>SUM(E10:E16)</f>
        <v>1082458</v>
      </c>
      <c r="F17" s="13" t="s">
        <v>3</v>
      </c>
      <c r="G17" s="1"/>
    </row>
    <row r="18" spans="1:7" x14ac:dyDescent="0.25">
      <c r="A18" s="1"/>
      <c r="B18" s="52" t="s">
        <v>146</v>
      </c>
      <c r="C18" s="12">
        <f>C17*(1+'Fane 13. Nøgletal'!C11)</f>
        <v>10536306.499199999</v>
      </c>
      <c r="D18" s="13" t="s">
        <v>3</v>
      </c>
      <c r="E18" s="12">
        <f>E17*(1+'Fane 13. Nøgletal'!C11)</f>
        <v>1154224.9654000001</v>
      </c>
      <c r="F18" s="13" t="s">
        <v>3</v>
      </c>
      <c r="G18" s="1"/>
    </row>
    <row r="19" spans="1:7" x14ac:dyDescent="0.25">
      <c r="A19" s="1"/>
      <c r="B19" s="1"/>
      <c r="C19" s="1" t="s">
        <v>81</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hsNPnAuHFNemXjweYXuEbOKAlHfTt2d50AB3u4IrNbBt7iQXdNWtCUxBKFg2/pHevQAJuXyPB+u0qdLiuHExqg==" saltValue="Se7++du3dI3ggQMzaQewIA=="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42578125" style="2" customWidth="1"/>
    <col min="2" max="2" width="38.140625" style="2" customWidth="1"/>
    <col min="3" max="3" width="13.5703125" style="2" customWidth="1"/>
    <col min="4" max="4" width="3.42578125" style="2" customWidth="1"/>
    <col min="5" max="5" width="13.5703125" style="2" customWidth="1"/>
    <col min="6" max="6" width="3.42578125" style="2" customWidth="1"/>
    <col min="7" max="7" width="5.42578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149</v>
      </c>
      <c r="C8" s="99"/>
      <c r="D8" s="99"/>
      <c r="E8" s="99"/>
      <c r="F8" s="100"/>
      <c r="G8" s="1"/>
    </row>
    <row r="9" spans="1:7" x14ac:dyDescent="0.25">
      <c r="A9" s="1"/>
      <c r="B9" s="72" t="s">
        <v>15</v>
      </c>
      <c r="C9" s="74" t="s">
        <v>10</v>
      </c>
      <c r="D9" s="75"/>
      <c r="E9" s="74" t="s">
        <v>26</v>
      </c>
      <c r="F9" s="27"/>
      <c r="G9" s="1"/>
    </row>
    <row r="10" spans="1:7" x14ac:dyDescent="0.25">
      <c r="A10" s="1"/>
      <c r="B10" s="23" t="s">
        <v>205</v>
      </c>
      <c r="C10" s="21"/>
      <c r="D10" s="14" t="s">
        <v>3</v>
      </c>
      <c r="E10" s="9"/>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147</v>
      </c>
      <c r="C13" s="12">
        <f>SUM(C10:C12)</f>
        <v>0</v>
      </c>
      <c r="D13" s="13" t="s">
        <v>3</v>
      </c>
      <c r="E13" s="12">
        <f>SUM(E10:E12)</f>
        <v>0</v>
      </c>
      <c r="F13" s="13" t="s">
        <v>3</v>
      </c>
      <c r="G13" s="1"/>
    </row>
    <row r="14" spans="1:7" x14ac:dyDescent="0.25">
      <c r="A14" s="1"/>
      <c r="B14" s="52" t="s">
        <v>148</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oUo0nGh5M6bgCqNmsQA/+vYWwzqr/UP9I/d2OXSogZZ0UyoEHbHPufLHWruTxD+y/9OdtcuBNZMO9OlLmxpGeg==" saltValue="7xaMiyqQwMzxpvCRRZ74TQ=="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42578125" style="2" customWidth="1"/>
    <col min="2" max="2" width="37.5703125" style="2" customWidth="1"/>
    <col min="3" max="3" width="13.5703125" style="2" customWidth="1"/>
    <col min="4" max="4" width="3.42578125" style="2" customWidth="1"/>
    <col min="5" max="5" width="13.5703125" style="2" customWidth="1"/>
    <col min="6" max="6" width="3.42578125" style="2" customWidth="1"/>
    <col min="7" max="7" width="5.42578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92</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58</v>
      </c>
      <c r="C8" s="99"/>
      <c r="D8" s="99"/>
      <c r="E8" s="99"/>
      <c r="F8" s="100"/>
      <c r="G8" s="1"/>
    </row>
    <row r="9" spans="1:7" ht="15" customHeight="1" x14ac:dyDescent="0.25">
      <c r="A9" s="1"/>
      <c r="B9" s="54" t="s">
        <v>59</v>
      </c>
      <c r="C9" s="118" t="s">
        <v>10</v>
      </c>
      <c r="D9" s="119"/>
      <c r="E9" s="118" t="s">
        <v>26</v>
      </c>
      <c r="F9" s="119"/>
      <c r="G9" s="1"/>
    </row>
    <row r="10" spans="1:7" ht="26.25" x14ac:dyDescent="0.25">
      <c r="A10" s="1"/>
      <c r="B10" s="60" t="s">
        <v>189</v>
      </c>
      <c r="C10" s="9">
        <v>0</v>
      </c>
      <c r="D10" s="14" t="s">
        <v>3</v>
      </c>
      <c r="E10" s="9">
        <v>0</v>
      </c>
      <c r="F10" s="14" t="s">
        <v>3</v>
      </c>
      <c r="G10" s="1"/>
    </row>
    <row r="11" spans="1:7" ht="28.5" customHeight="1" x14ac:dyDescent="0.25">
      <c r="A11" s="1"/>
      <c r="B11" s="20" t="s">
        <v>114</v>
      </c>
      <c r="C11" s="12">
        <f>SUM(C10:C10)</f>
        <v>0</v>
      </c>
      <c r="D11" s="13" t="s">
        <v>3</v>
      </c>
      <c r="E11" s="12">
        <f>SUM(E10:E10)</f>
        <v>0</v>
      </c>
      <c r="F11" s="13" t="s">
        <v>3</v>
      </c>
      <c r="G11" s="1"/>
    </row>
    <row r="12" spans="1:7" ht="27" customHeight="1" x14ac:dyDescent="0.25">
      <c r="A12" s="1"/>
      <c r="B12" s="20" t="s">
        <v>150</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uaXmHqMf/J61Xbtbk50Sx4EtPFiyjA8XWhpiFYJI14ZVq56tGAV/cRCY1Pxbkr0sbstxP7BzVXikATLaZ65iUw==" saltValue="vQFUMHhsF4Uprysn8WKVsA=="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42578125" style="2" customWidth="1"/>
    <col min="2" max="2" width="37.5703125" style="2" customWidth="1"/>
    <col min="3" max="3" width="13.5703125" style="2" customWidth="1"/>
    <col min="4" max="4" width="3.140625" style="2" customWidth="1"/>
    <col min="5" max="5" width="13.5703125" style="2" customWidth="1"/>
    <col min="6" max="6" width="3.140625" style="2" customWidth="1"/>
    <col min="7" max="7" width="5.42578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151</v>
      </c>
      <c r="C8" s="99"/>
      <c r="D8" s="99"/>
      <c r="E8" s="99"/>
      <c r="F8" s="100"/>
      <c r="G8" s="1"/>
    </row>
    <row r="9" spans="1:7" x14ac:dyDescent="0.25">
      <c r="A9" s="1"/>
      <c r="B9" s="54" t="s">
        <v>16</v>
      </c>
      <c r="C9" s="51" t="s">
        <v>10</v>
      </c>
      <c r="D9" s="27"/>
      <c r="E9" s="51" t="s">
        <v>26</v>
      </c>
      <c r="F9" s="27"/>
      <c r="G9" s="1"/>
    </row>
    <row r="10" spans="1:7" x14ac:dyDescent="0.25">
      <c r="A10" s="1"/>
      <c r="B10" s="60" t="s">
        <v>190</v>
      </c>
      <c r="C10" s="9">
        <v>0</v>
      </c>
      <c r="D10" s="14" t="s">
        <v>3</v>
      </c>
      <c r="E10" s="9">
        <v>0</v>
      </c>
      <c r="F10" s="14" t="s">
        <v>3</v>
      </c>
      <c r="G10" s="1"/>
    </row>
    <row r="11" spans="1:7" x14ac:dyDescent="0.25">
      <c r="A11" s="1"/>
      <c r="B11" s="52" t="s">
        <v>121</v>
      </c>
      <c r="C11" s="12">
        <f>SUM(C10:C10)</f>
        <v>0</v>
      </c>
      <c r="D11" s="13" t="s">
        <v>3</v>
      </c>
      <c r="E11" s="12">
        <f>SUM(E10:E10)</f>
        <v>0</v>
      </c>
      <c r="F11" s="13" t="s">
        <v>3</v>
      </c>
      <c r="G11" s="1"/>
    </row>
    <row r="12" spans="1:7" x14ac:dyDescent="0.25">
      <c r="A12" s="1"/>
      <c r="B12" s="52" t="s">
        <v>188</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6x9oSCNZhPyibkLkERr0i4pcfSeljITFTNTwl8dHafVMoIO1f7L8qC5cE7sXyrc/oZVKyeqHnisIcjYmoi3KhQ==" saltValue="uAyEw1uVgKw1JeOqF1/Zdw=="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42578125" style="2" customWidth="1"/>
    <col min="2" max="2" width="61.5703125" style="2" customWidth="1"/>
    <col min="3" max="3" width="7.5703125" style="38" customWidth="1"/>
    <col min="4" max="4" width="5.425781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94</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186</v>
      </c>
      <c r="C9" s="49">
        <v>3.56E-2</v>
      </c>
      <c r="D9" s="1"/>
    </row>
    <row r="10" spans="1:4" x14ac:dyDescent="0.25">
      <c r="A10" s="1"/>
      <c r="B10" s="43" t="s">
        <v>185</v>
      </c>
      <c r="C10" s="49">
        <v>8.0799999999999997E-2</v>
      </c>
      <c r="D10" s="1"/>
    </row>
    <row r="11" spans="1:4" x14ac:dyDescent="0.25">
      <c r="A11" s="1"/>
      <c r="B11" s="43" t="s">
        <v>193</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43</v>
      </c>
      <c r="C15" s="35"/>
      <c r="D15" s="1"/>
    </row>
    <row r="16" spans="1:4" x14ac:dyDescent="0.25">
      <c r="A16" s="1"/>
      <c r="B16" s="43" t="s">
        <v>187</v>
      </c>
      <c r="C16" s="37">
        <v>0</v>
      </c>
      <c r="D16" s="1"/>
    </row>
    <row r="17" spans="1:4" x14ac:dyDescent="0.25">
      <c r="A17" s="1"/>
      <c r="B17" s="43" t="s">
        <v>110</v>
      </c>
      <c r="C17" s="37">
        <v>0</v>
      </c>
      <c r="D17" s="1"/>
    </row>
    <row r="18" spans="1:4" x14ac:dyDescent="0.25">
      <c r="A18" s="1"/>
      <c r="B18" s="43" t="s">
        <v>194</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44</v>
      </c>
      <c r="C22" s="35"/>
      <c r="D22" s="1"/>
    </row>
    <row r="23" spans="1:4" x14ac:dyDescent="0.25">
      <c r="A23" s="1"/>
      <c r="B23" s="28" t="s">
        <v>55</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EaeSfszRpF/3/NXZYO3fKJcUc1ZboPOYY+gsDYbjuiPhbzcqC1mOBdp8NfqVwvQV4QNYnfutW5JGgavN6KzBnA==" saltValue="CY7V8RC4dNE0E1kq13Psiw=="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42578125" style="2" customWidth="1"/>
    <col min="2" max="2" width="57.140625" style="2" customWidth="1"/>
    <col min="3" max="3" width="12.5703125" style="2" customWidth="1"/>
    <col min="4" max="4" width="3.42578125" style="2" customWidth="1"/>
    <col min="5" max="5" width="5.425781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127</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67</v>
      </c>
      <c r="C9" s="7">
        <f>'Fane 3. Omkostninger i ØR2024'!C20</f>
        <v>67175876.412572131</v>
      </c>
      <c r="D9" s="8" t="s">
        <v>3</v>
      </c>
      <c r="E9" s="1"/>
    </row>
    <row r="10" spans="1:5" ht="17.100000000000001" customHeight="1" x14ac:dyDescent="0.25">
      <c r="A10" s="1"/>
      <c r="B10" s="24" t="s">
        <v>31</v>
      </c>
      <c r="C10" s="7">
        <f>'Fane 10.1. Varige tillæg'!C18</f>
        <v>10536306.499199999</v>
      </c>
      <c r="D10" s="8" t="s">
        <v>3</v>
      </c>
      <c r="E10" s="1"/>
    </row>
    <row r="11" spans="1:5" ht="17.100000000000001" customHeight="1" x14ac:dyDescent="0.25">
      <c r="A11" s="1"/>
      <c r="B11" s="24" t="s">
        <v>32</v>
      </c>
      <c r="C11" s="9">
        <f>'Fane 10.1. Varige tillæg'!E18</f>
        <v>1154224.9654000001</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60</v>
      </c>
      <c r="C14" s="9">
        <f>'Fane 11. Tilknyttet virksomhed'!C12</f>
        <v>0</v>
      </c>
      <c r="D14" s="8" t="s">
        <v>3</v>
      </c>
      <c r="E14" s="1"/>
    </row>
    <row r="15" spans="1:5" ht="17.100000000000001" customHeight="1" x14ac:dyDescent="0.25">
      <c r="A15" s="1"/>
      <c r="B15" s="24" t="s">
        <v>61</v>
      </c>
      <c r="C15" s="9">
        <f>'Fane 11. Tilknyttet virksomhed'!E12</f>
        <v>0</v>
      </c>
      <c r="D15" s="8" t="s">
        <v>3</v>
      </c>
      <c r="E15" s="1"/>
    </row>
    <row r="16" spans="1:5" ht="17.100000000000001" customHeight="1" x14ac:dyDescent="0.25">
      <c r="A16" s="1"/>
      <c r="B16" s="24" t="s">
        <v>17</v>
      </c>
      <c r="C16" s="9">
        <f>(SUM(C9:C11)+SUM(C14:C15))*'Fane 13. Nøgletal'!C11</f>
        <v>5228842.8422565116</v>
      </c>
      <c r="D16" s="8" t="s">
        <v>3</v>
      </c>
      <c r="E16" s="1"/>
    </row>
    <row r="17" spans="1:5" ht="17.100000000000001" customHeight="1" x14ac:dyDescent="0.25">
      <c r="A17" s="1"/>
      <c r="B17" s="24" t="s">
        <v>9</v>
      </c>
      <c r="C17" s="9">
        <f>-SUM(C9:C16)*'Fane 5. Individuelt eff. krav'!C9</f>
        <v>-294282.08100747323</v>
      </c>
      <c r="D17" s="8" t="s">
        <v>3</v>
      </c>
      <c r="E17" s="1"/>
    </row>
    <row r="18" spans="1:5" ht="17.100000000000001" customHeight="1" x14ac:dyDescent="0.25">
      <c r="A18" s="1"/>
      <c r="B18" s="24" t="s">
        <v>21</v>
      </c>
      <c r="C18" s="9">
        <f>-'Fane 4.1. Gen. krav - drift'!C17</f>
        <v>-887219.44953978364</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82913749.188881382</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46676919.197194949</v>
      </c>
      <c r="D22" s="11" t="s">
        <v>3</v>
      </c>
      <c r="E22" s="1"/>
    </row>
    <row r="23" spans="1:5" ht="15" customHeight="1" x14ac:dyDescent="0.25">
      <c r="A23" s="1"/>
      <c r="B23" s="52" t="s">
        <v>38</v>
      </c>
      <c r="C23" s="53"/>
      <c r="D23" s="19"/>
      <c r="E23" s="1"/>
    </row>
    <row r="24" spans="1:5" ht="15" customHeight="1" x14ac:dyDescent="0.25">
      <c r="A24" s="1"/>
      <c r="B24" s="24" t="s">
        <v>34</v>
      </c>
      <c r="C24" s="9">
        <f>'Fane 10.2. Engangstillæg'!C14</f>
        <v>0</v>
      </c>
      <c r="D24" s="8" t="s">
        <v>3</v>
      </c>
      <c r="E24" s="1"/>
    </row>
    <row r="25" spans="1:5" ht="15" customHeight="1" x14ac:dyDescent="0.25">
      <c r="A25" s="1"/>
      <c r="B25" s="24" t="s">
        <v>35</v>
      </c>
      <c r="C25" s="9">
        <f>'Fane 10.2. Engangstillæg'!E14</f>
        <v>0</v>
      </c>
      <c r="D25" s="8" t="s">
        <v>3</v>
      </c>
      <c r="E25" s="1"/>
    </row>
    <row r="26" spans="1:5" ht="15" customHeight="1" x14ac:dyDescent="0.25">
      <c r="A26" s="1"/>
      <c r="B26" s="24" t="s">
        <v>78</v>
      </c>
      <c r="C26" s="9">
        <f>-C24*('Fane 13. Nøgletal'!C23+'Fane 5. Individuelt eff. krav'!C9)</f>
        <v>0</v>
      </c>
      <c r="D26" s="8" t="s">
        <v>3</v>
      </c>
      <c r="E26" s="1"/>
    </row>
    <row r="27" spans="1:5" ht="15" customHeight="1" x14ac:dyDescent="0.25">
      <c r="A27" s="1"/>
      <c r="B27" s="24" t="s">
        <v>79</v>
      </c>
      <c r="C27" s="9">
        <f>-C25*('Fane 13. Nøgletal'!C18+'Fane 5. Individuelt eff. krav'!C9)</f>
        <v>0</v>
      </c>
      <c r="D27" s="8" t="s">
        <v>3</v>
      </c>
      <c r="E27" s="1"/>
    </row>
    <row r="28" spans="1:5" x14ac:dyDescent="0.25">
      <c r="A28" s="1"/>
      <c r="B28" s="74" t="s">
        <v>39</v>
      </c>
      <c r="C28" s="50">
        <f>SUM(C24:C27)</f>
        <v>0</v>
      </c>
      <c r="D28" s="11" t="s">
        <v>3</v>
      </c>
      <c r="E28" s="1"/>
    </row>
    <row r="29" spans="1:5" ht="15" customHeight="1" x14ac:dyDescent="0.25">
      <c r="A29" s="1"/>
      <c r="B29" s="25" t="s">
        <v>64</v>
      </c>
      <c r="C29" s="53"/>
      <c r="D29" s="19"/>
      <c r="E29" s="1"/>
    </row>
    <row r="30" spans="1:5" x14ac:dyDescent="0.25">
      <c r="A30" s="1"/>
      <c r="B30" s="58" t="s">
        <v>65</v>
      </c>
      <c r="C30" s="10">
        <f>'Fane 7. Kontrol af ØR2023'!C30</f>
        <v>-2127483.380554758</v>
      </c>
      <c r="D30" s="11" t="s">
        <v>3</v>
      </c>
      <c r="E30" s="1"/>
    </row>
    <row r="31" spans="1:5" x14ac:dyDescent="0.25">
      <c r="A31" s="1"/>
      <c r="B31" s="25" t="s">
        <v>69</v>
      </c>
      <c r="C31" s="53"/>
      <c r="D31" s="19"/>
      <c r="E31" s="1"/>
    </row>
    <row r="32" spans="1:5" x14ac:dyDescent="0.25">
      <c r="A32" s="1"/>
      <c r="B32" s="58" t="s">
        <v>70</v>
      </c>
      <c r="C32" s="10">
        <f>'Fane 8. Skattesagen'!C14</f>
        <v>0</v>
      </c>
      <c r="D32" s="11" t="s">
        <v>3</v>
      </c>
      <c r="E32" s="1"/>
    </row>
    <row r="33" spans="1:5" x14ac:dyDescent="0.25">
      <c r="A33" s="1"/>
      <c r="B33" s="52" t="s">
        <v>68</v>
      </c>
      <c r="C33" s="29">
        <f>SUM(C20,C22,C28,C30,C32)</f>
        <v>127463185.00552157</v>
      </c>
      <c r="D33" s="19" t="s">
        <v>3</v>
      </c>
      <c r="E33" s="1"/>
    </row>
    <row r="34" spans="1:5" x14ac:dyDescent="0.25">
      <c r="A34" s="1"/>
      <c r="B34" s="1" t="s">
        <v>81</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zboO46SthVDK/vI51MD1vk15XdoMOQsLCxb9qfRGkQdJWH1RhsHKNgx+ZKPiz5yhcr01pC6wWfsk77tSM/iOuQ==" saltValue="qotYH6E/K/tsqROZL8SEFA=="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42578125" style="2" customWidth="1"/>
    <col min="2" max="2" width="57.140625" style="2" customWidth="1"/>
    <col min="3" max="3" width="12.5703125" style="2" customWidth="1"/>
    <col min="4" max="4" width="3.42578125" style="2" customWidth="1"/>
    <col min="5" max="5" width="5.425781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71</v>
      </c>
      <c r="C9" s="7">
        <f>'Fane 2.1. Økonomisk ramme 2025'!C20</f>
        <v>82913749.188881382</v>
      </c>
      <c r="D9" s="8" t="s">
        <v>3</v>
      </c>
      <c r="E9" s="1"/>
    </row>
    <row r="10" spans="1:5" ht="15" customHeight="1" x14ac:dyDescent="0.25">
      <c r="A10" s="1"/>
      <c r="B10" s="47" t="s">
        <v>17</v>
      </c>
      <c r="C10" s="41">
        <f>C9*'Fane 13. Nøgletal'!C11</f>
        <v>5497181.5712228352</v>
      </c>
      <c r="D10" s="8" t="s">
        <v>3</v>
      </c>
      <c r="E10" s="1"/>
    </row>
    <row r="11" spans="1:5" ht="15" customHeight="1" x14ac:dyDescent="0.25">
      <c r="A11" s="1"/>
      <c r="B11" s="47" t="s">
        <v>9</v>
      </c>
      <c r="C11" s="9">
        <f>-SUM(C9:C10)*'Fane 5. Individuelt eff. krav'!C9</f>
        <v>-309384.32866673387</v>
      </c>
      <c r="D11" s="8" t="s">
        <v>3</v>
      </c>
      <c r="E11" s="1"/>
    </row>
    <row r="12" spans="1:5" ht="15" customHeight="1" x14ac:dyDescent="0.25">
      <c r="A12" s="1"/>
      <c r="B12" s="47" t="s">
        <v>21</v>
      </c>
      <c r="C12" s="9">
        <f>-'Fane 4.1. Gen. krav - drift'!C22</f>
        <v>-927121.25706338591</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87174425.174374104</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49771598.939968973</v>
      </c>
      <c r="D16" s="11" t="s">
        <v>3</v>
      </c>
      <c r="E16" s="1"/>
    </row>
    <row r="17" spans="1:5" x14ac:dyDescent="0.25">
      <c r="A17" s="1"/>
      <c r="B17" s="25" t="s">
        <v>64</v>
      </c>
      <c r="C17" s="53"/>
      <c r="D17" s="19"/>
      <c r="E17" s="1"/>
    </row>
    <row r="18" spans="1:5" ht="15" customHeight="1" x14ac:dyDescent="0.25">
      <c r="A18" s="1"/>
      <c r="B18" s="45" t="s">
        <v>65</v>
      </c>
      <c r="C18" s="10">
        <f>'Fane 7. Kontrol af ØR2023'!C30</f>
        <v>-2127483.380554758</v>
      </c>
      <c r="D18" s="11" t="s">
        <v>3</v>
      </c>
      <c r="E18" s="1"/>
    </row>
    <row r="19" spans="1:5" x14ac:dyDescent="0.25">
      <c r="A19" s="1"/>
      <c r="B19" s="25" t="s">
        <v>69</v>
      </c>
      <c r="C19" s="53"/>
      <c r="D19" s="19"/>
      <c r="E19" s="1"/>
    </row>
    <row r="20" spans="1:5" x14ac:dyDescent="0.25">
      <c r="A20" s="1"/>
      <c r="B20" s="58" t="s">
        <v>70</v>
      </c>
      <c r="C20" s="10">
        <f>'Fane 8. Skattesagen'!C15</f>
        <v>0</v>
      </c>
      <c r="D20" s="11" t="s">
        <v>3</v>
      </c>
      <c r="E20" s="1"/>
    </row>
    <row r="21" spans="1:5" x14ac:dyDescent="0.25">
      <c r="A21" s="1"/>
      <c r="B21" s="52" t="s">
        <v>72</v>
      </c>
      <c r="C21" s="12">
        <f>SUM(C14,C16,C18,C20)</f>
        <v>134818540.73378831</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2AJIQ5oVZYBnGzN3TE+J90BTVi8nenryRyyAjM05julvFegZnW8Ub4lQOM6olKpumP0YUIy4sYZVUT5ciFdzaA==" saltValue="S76zvS9opbYAL4y8SFxci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42578125" style="2" customWidth="1"/>
    <col min="2" max="2" width="57.140625" style="2" customWidth="1"/>
    <col min="3" max="3" width="12.5703125" style="2" customWidth="1"/>
    <col min="4" max="4" width="3.42578125" style="2" customWidth="1"/>
    <col min="5" max="5" width="5.425781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107</v>
      </c>
      <c r="C9" s="7">
        <f>'Fane 2.2. Økonomisk ramme 2026'!C14</f>
        <v>87174425.174374104</v>
      </c>
      <c r="D9" s="8" t="s">
        <v>3</v>
      </c>
      <c r="E9" s="1"/>
    </row>
    <row r="10" spans="1:5" ht="15" customHeight="1" x14ac:dyDescent="0.25">
      <c r="A10" s="1"/>
      <c r="B10" s="47" t="s">
        <v>17</v>
      </c>
      <c r="C10" s="41">
        <f>C9*'Fane 13. Nøgletal'!C11</f>
        <v>5779664.389061003</v>
      </c>
      <c r="D10" s="8" t="s">
        <v>3</v>
      </c>
      <c r="E10" s="1"/>
    </row>
    <row r="11" spans="1:5" ht="15" customHeight="1" x14ac:dyDescent="0.25">
      <c r="A11" s="1"/>
      <c r="B11" s="47" t="s">
        <v>9</v>
      </c>
      <c r="C11" s="9">
        <f>-SUM(C9:C10)*'Fane 5. Individuelt eff. krav'!C9</f>
        <v>-325282.61323755037</v>
      </c>
      <c r="D11" s="8" t="s">
        <v>3</v>
      </c>
      <c r="E11" s="1"/>
    </row>
    <row r="12" spans="1:5" ht="15" customHeight="1" x14ac:dyDescent="0.25">
      <c r="A12" s="1"/>
      <c r="B12" s="47" t="s">
        <v>21</v>
      </c>
      <c r="C12" s="9">
        <f>-'Fane 4.1. Gen. krav - drift'!C27</f>
        <v>-968817.60847855452</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91659989.341719002</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53071455.949688919</v>
      </c>
      <c r="D16" s="11" t="s">
        <v>3</v>
      </c>
      <c r="E16" s="1"/>
    </row>
    <row r="17" spans="1:5" x14ac:dyDescent="0.25">
      <c r="A17" s="1"/>
      <c r="B17" s="25" t="s">
        <v>64</v>
      </c>
      <c r="C17" s="53"/>
      <c r="D17" s="19"/>
      <c r="E17" s="1"/>
    </row>
    <row r="18" spans="1:5" ht="15" customHeight="1" x14ac:dyDescent="0.25">
      <c r="A18" s="1"/>
      <c r="B18" s="45" t="s">
        <v>65</v>
      </c>
      <c r="C18" s="10">
        <v>0</v>
      </c>
      <c r="D18" s="11" t="s">
        <v>3</v>
      </c>
      <c r="E18" s="1"/>
    </row>
    <row r="19" spans="1:5" x14ac:dyDescent="0.25">
      <c r="A19" s="1"/>
      <c r="B19" s="52" t="s">
        <v>69</v>
      </c>
      <c r="C19" s="53"/>
      <c r="D19" s="19"/>
      <c r="E19" s="1"/>
    </row>
    <row r="20" spans="1:5" x14ac:dyDescent="0.25">
      <c r="A20" s="1"/>
      <c r="B20" s="58" t="s">
        <v>70</v>
      </c>
      <c r="C20" s="10">
        <f>'Fane 8. Skattesagen'!C16</f>
        <v>0</v>
      </c>
      <c r="D20" s="11" t="s">
        <v>3</v>
      </c>
      <c r="E20" s="1"/>
    </row>
    <row r="21" spans="1:5" x14ac:dyDescent="0.25">
      <c r="A21" s="1"/>
      <c r="B21" s="52" t="s">
        <v>108</v>
      </c>
      <c r="C21" s="12">
        <f>SUM(C14,C16,C18,C20)</f>
        <v>144731445.29140791</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ZthY+4kY5nNPvRDzx6Q32pudJCW01ee6HWEmmpVhlynoXqi0wzDU2RCjxfIo2EGJs0azPxTTyh0tWOGn/7jk+w==" saltValue="akBSgvmNeUAG/p8IJeiR4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42578125" style="2" customWidth="1"/>
    <col min="2" max="2" width="57.140625" style="2" customWidth="1"/>
    <col min="3" max="3" width="12.5703125" style="2" customWidth="1"/>
    <col min="4" max="4" width="3.42578125" style="2" customWidth="1"/>
    <col min="5" max="5" width="5.425781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131</v>
      </c>
      <c r="C9" s="7">
        <f>'Fane 2.3. Økonomisk ramme 2027'!C14</f>
        <v>91659989.341719002</v>
      </c>
      <c r="D9" s="8" t="s">
        <v>3</v>
      </c>
      <c r="E9" s="1"/>
    </row>
    <row r="10" spans="1:5" ht="15" customHeight="1" x14ac:dyDescent="0.25">
      <c r="A10" s="1"/>
      <c r="B10" s="47" t="s">
        <v>17</v>
      </c>
      <c r="C10" s="9">
        <f>C9*'Fane 13. Nøgletal'!C11</f>
        <v>6077057.2933559697</v>
      </c>
      <c r="D10" s="8" t="s">
        <v>3</v>
      </c>
      <c r="E10" s="1"/>
    </row>
    <row r="11" spans="1:5" ht="15" customHeight="1" x14ac:dyDescent="0.25">
      <c r="A11" s="1"/>
      <c r="B11" s="47" t="s">
        <v>9</v>
      </c>
      <c r="C11" s="9">
        <f>-SUM(C9:C10)*'Fane 5. Individuelt eff. krav'!C9</f>
        <v>-342020.04547504534</v>
      </c>
      <c r="D11" s="8" t="s">
        <v>3</v>
      </c>
      <c r="E11" s="1"/>
    </row>
    <row r="12" spans="1:5" ht="15" customHeight="1" x14ac:dyDescent="0.25">
      <c r="A12" s="1"/>
      <c r="B12" s="47" t="s">
        <v>21</v>
      </c>
      <c r="C12" s="9">
        <f>-'Fane 4.1. Gen. krav - drift'!C32</f>
        <v>-1012389.2116022691</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96382637.377997652</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56590093.479153298</v>
      </c>
      <c r="D16" s="11" t="s">
        <v>3</v>
      </c>
      <c r="E16" s="1"/>
    </row>
    <row r="17" spans="1:5" x14ac:dyDescent="0.25">
      <c r="A17" s="1"/>
      <c r="B17" s="25" t="s">
        <v>69</v>
      </c>
      <c r="C17" s="53"/>
      <c r="D17" s="19"/>
      <c r="E17" s="1"/>
    </row>
    <row r="18" spans="1:5" x14ac:dyDescent="0.25">
      <c r="A18" s="1"/>
      <c r="B18" s="58" t="s">
        <v>70</v>
      </c>
      <c r="C18" s="10">
        <f>'Fane 8. Skattesagen'!C17</f>
        <v>0</v>
      </c>
      <c r="D18" s="11" t="s">
        <v>3</v>
      </c>
      <c r="E18" s="1"/>
    </row>
    <row r="19" spans="1:5" x14ac:dyDescent="0.25">
      <c r="A19" s="1"/>
      <c r="B19" s="52" t="s">
        <v>132</v>
      </c>
      <c r="C19" s="12">
        <f>SUM(C14,C16,C18)</f>
        <v>152972730.85715094</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Z95bAc9jgbOQWASb6Xdc9xOdh5s+uAKr8k8EAfVbYp3zX3UbrduV1+XTsKgmfTmWZq1vMEfdcvHLI1tpIvKb5w==" saltValue="Zwzo/zz6uX+3nbfElaU09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5703125" style="2" customWidth="1"/>
    <col min="3" max="3" width="12.5703125" style="2" bestFit="1" customWidth="1"/>
    <col min="4" max="4" width="3" style="2" customWidth="1"/>
    <col min="5" max="5" width="6.425781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133</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134</v>
      </c>
      <c r="C8" s="53"/>
      <c r="D8" s="19"/>
      <c r="E8" s="1"/>
    </row>
    <row r="9" spans="1:5" x14ac:dyDescent="0.25">
      <c r="A9" s="1"/>
      <c r="B9" s="55" t="s">
        <v>62</v>
      </c>
      <c r="C9" s="7">
        <v>45620994.089539498</v>
      </c>
      <c r="D9" s="8" t="s">
        <v>3</v>
      </c>
      <c r="E9" s="1"/>
    </row>
    <row r="10" spans="1:5" x14ac:dyDescent="0.25">
      <c r="A10" s="1"/>
      <c r="B10" s="24" t="s">
        <v>31</v>
      </c>
      <c r="C10" s="7">
        <v>45660.5576</v>
      </c>
      <c r="D10" s="8" t="s">
        <v>3</v>
      </c>
      <c r="E10" s="1"/>
    </row>
    <row r="11" spans="1:5" ht="15" customHeight="1" x14ac:dyDescent="0.25">
      <c r="A11" s="1"/>
      <c r="B11" s="24" t="s">
        <v>32</v>
      </c>
      <c r="C11" s="9">
        <v>18981711.0392</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60</v>
      </c>
      <c r="C14" s="9">
        <v>0</v>
      </c>
      <c r="D14" s="8" t="s">
        <v>3</v>
      </c>
      <c r="E14" s="1"/>
    </row>
    <row r="15" spans="1:5" x14ac:dyDescent="0.25">
      <c r="A15" s="1"/>
      <c r="B15" s="24" t="s">
        <v>61</v>
      </c>
      <c r="C15" s="9">
        <v>0</v>
      </c>
      <c r="D15" s="8" t="s">
        <v>3</v>
      </c>
      <c r="E15" s="1"/>
    </row>
    <row r="16" spans="1:5" x14ac:dyDescent="0.25">
      <c r="A16" s="1"/>
      <c r="B16" s="24" t="s">
        <v>17</v>
      </c>
      <c r="C16" s="9">
        <v>3161519.0146090463</v>
      </c>
      <c r="D16" s="8" t="s">
        <v>3</v>
      </c>
      <c r="E16" s="1"/>
    </row>
    <row r="17" spans="1:5" x14ac:dyDescent="0.25">
      <c r="A17" s="1"/>
      <c r="B17" s="24" t="s">
        <v>9</v>
      </c>
      <c r="C17" s="9">
        <v>0</v>
      </c>
      <c r="D17" s="8" t="s">
        <v>3</v>
      </c>
      <c r="E17" s="1"/>
    </row>
    <row r="18" spans="1:5" x14ac:dyDescent="0.25">
      <c r="A18" s="1"/>
      <c r="B18" s="24" t="s">
        <v>21</v>
      </c>
      <c r="C18" s="9">
        <v>-634008.28837640421</v>
      </c>
      <c r="D18" s="8" t="s">
        <v>3</v>
      </c>
      <c r="E18" s="1"/>
    </row>
    <row r="19" spans="1:5" x14ac:dyDescent="0.25">
      <c r="A19" s="1"/>
      <c r="B19" s="24" t="s">
        <v>22</v>
      </c>
      <c r="C19" s="9">
        <v>0</v>
      </c>
      <c r="D19" s="8" t="s">
        <v>3</v>
      </c>
      <c r="E19" s="1"/>
    </row>
    <row r="20" spans="1:5" x14ac:dyDescent="0.25">
      <c r="A20" s="1"/>
      <c r="B20" s="74" t="s">
        <v>19</v>
      </c>
      <c r="C20" s="10">
        <v>67175876.412572131</v>
      </c>
      <c r="D20" s="11" t="s">
        <v>3</v>
      </c>
      <c r="E20" s="1"/>
    </row>
    <row r="21" spans="1:5" x14ac:dyDescent="0.25">
      <c r="A21" s="1"/>
      <c r="B21" s="52" t="s">
        <v>11</v>
      </c>
      <c r="C21" s="53"/>
      <c r="D21" s="19"/>
      <c r="E21" s="1"/>
    </row>
    <row r="22" spans="1:5" x14ac:dyDescent="0.25">
      <c r="A22" s="1"/>
      <c r="B22" s="54" t="s">
        <v>11</v>
      </c>
      <c r="C22" s="10">
        <v>49629452.156345598</v>
      </c>
      <c r="D22" s="11" t="s">
        <v>3</v>
      </c>
      <c r="E22" s="1"/>
    </row>
    <row r="23" spans="1:5" x14ac:dyDescent="0.25">
      <c r="A23" s="1"/>
      <c r="B23" s="52" t="s">
        <v>38</v>
      </c>
      <c r="C23" s="53"/>
      <c r="D23" s="19"/>
      <c r="E23" s="1"/>
    </row>
    <row r="24" spans="1:5" ht="15" customHeight="1" x14ac:dyDescent="0.25">
      <c r="A24" s="1"/>
      <c r="B24" s="24" t="s">
        <v>34</v>
      </c>
      <c r="C24" s="9">
        <v>0</v>
      </c>
      <c r="D24" s="8" t="s">
        <v>3</v>
      </c>
      <c r="E24" s="1"/>
    </row>
    <row r="25" spans="1:5" ht="14.25" customHeight="1" x14ac:dyDescent="0.25">
      <c r="A25" s="1"/>
      <c r="B25" s="24" t="s">
        <v>35</v>
      </c>
      <c r="C25" s="9">
        <v>0</v>
      </c>
      <c r="D25" s="8" t="s">
        <v>3</v>
      </c>
      <c r="E25" s="1"/>
    </row>
    <row r="26" spans="1:5" ht="14.25" customHeight="1" x14ac:dyDescent="0.25">
      <c r="A26" s="1"/>
      <c r="B26" s="24" t="s">
        <v>78</v>
      </c>
      <c r="C26" s="9">
        <v>0</v>
      </c>
      <c r="D26" s="8" t="s">
        <v>3</v>
      </c>
      <c r="E26" s="1"/>
    </row>
    <row r="27" spans="1:5" ht="14.25" customHeight="1" x14ac:dyDescent="0.25">
      <c r="A27" s="1"/>
      <c r="B27" s="24" t="s">
        <v>79</v>
      </c>
      <c r="C27" s="9">
        <v>0</v>
      </c>
      <c r="D27" s="8" t="s">
        <v>3</v>
      </c>
      <c r="E27" s="1"/>
    </row>
    <row r="28" spans="1:5" ht="14.25" customHeight="1" x14ac:dyDescent="0.25">
      <c r="A28" s="1"/>
      <c r="B28" s="74" t="s">
        <v>39</v>
      </c>
      <c r="C28" s="50">
        <v>0</v>
      </c>
      <c r="D28" s="11" t="s">
        <v>3</v>
      </c>
      <c r="E28" s="1"/>
    </row>
    <row r="29" spans="1:5" x14ac:dyDescent="0.25">
      <c r="A29" s="1"/>
      <c r="B29" s="25" t="s">
        <v>64</v>
      </c>
      <c r="C29" s="53"/>
      <c r="D29" s="19"/>
      <c r="E29" s="1"/>
    </row>
    <row r="30" spans="1:5" x14ac:dyDescent="0.25">
      <c r="A30" s="1"/>
      <c r="B30" s="58" t="s">
        <v>65</v>
      </c>
      <c r="C30" s="10">
        <v>0</v>
      </c>
      <c r="D30" s="11" t="s">
        <v>3</v>
      </c>
      <c r="E30" s="1"/>
    </row>
    <row r="31" spans="1:5" ht="15" customHeight="1" x14ac:dyDescent="0.25">
      <c r="A31" s="1"/>
      <c r="B31" s="25" t="s">
        <v>69</v>
      </c>
      <c r="C31" s="53"/>
      <c r="D31" s="19"/>
      <c r="E31" s="1"/>
    </row>
    <row r="32" spans="1:5" ht="15.6" customHeight="1" x14ac:dyDescent="0.25">
      <c r="A32" s="1"/>
      <c r="B32" s="58" t="s">
        <v>70</v>
      </c>
      <c r="C32" s="10">
        <v>0</v>
      </c>
      <c r="D32" s="11" t="s">
        <v>3</v>
      </c>
      <c r="E32" s="1"/>
    </row>
    <row r="33" spans="1:5" ht="15.6" customHeight="1" x14ac:dyDescent="0.25">
      <c r="A33" s="1"/>
      <c r="B33" s="52" t="s">
        <v>66</v>
      </c>
      <c r="C33" s="29">
        <v>116805328.56891772</v>
      </c>
      <c r="D33" s="19" t="s">
        <v>3</v>
      </c>
      <c r="E33" s="1"/>
    </row>
    <row r="34" spans="1:5" ht="30" customHeight="1" x14ac:dyDescent="0.25">
      <c r="A34" s="1"/>
      <c r="B34" s="97" t="s">
        <v>192</v>
      </c>
      <c r="C34" s="97"/>
      <c r="D34" s="97"/>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GsUO9Mwrarnb4SfWSMnEpiau1YtT1EpNyaziCva61CdFeLFUnuLoDoIgxI4L6dc8YB5AM+IgGX+lf2TNHwxPHg==" saltValue="dpptUeE5yFE4wEtwrvexng=="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42578125" style="2" customWidth="1"/>
    <col min="2" max="2" width="57.140625" style="2" customWidth="1"/>
    <col min="3" max="3" width="12.5703125" style="33" customWidth="1"/>
    <col min="4" max="4" width="3.140625" style="2" customWidth="1"/>
    <col min="5" max="5" width="5.425781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32"/>
      <c r="D7" s="1"/>
      <c r="E7" s="1"/>
    </row>
    <row r="8" spans="1:5" x14ac:dyDescent="0.25">
      <c r="A8" s="1"/>
      <c r="B8" s="98" t="s">
        <v>74</v>
      </c>
      <c r="C8" s="99"/>
      <c r="D8" s="100"/>
      <c r="E8" s="1"/>
    </row>
    <row r="9" spans="1:5" x14ac:dyDescent="0.25">
      <c r="A9" s="1"/>
      <c r="B9" s="56" t="s">
        <v>166</v>
      </c>
      <c r="C9" s="22">
        <v>31651064.488166124</v>
      </c>
      <c r="D9" s="14" t="s">
        <v>3</v>
      </c>
      <c r="E9" s="1"/>
    </row>
    <row r="10" spans="1:5" x14ac:dyDescent="0.25">
      <c r="A10" s="1"/>
      <c r="B10" s="56" t="s">
        <v>109</v>
      </c>
      <c r="C10" s="22">
        <f>('Fane 3. Omkostninger i ØR2024'!C10+'Fane 3. Omkostninger i ØR2024'!C12+'Fane 3. Omkostninger i ØR2024'!C14)*(1+'Fane 13. Nøgletal'!C10)</f>
        <v>49349.930654080003</v>
      </c>
      <c r="D10" s="14" t="s">
        <v>3</v>
      </c>
      <c r="E10" s="1"/>
    </row>
    <row r="11" spans="1:5" x14ac:dyDescent="0.25">
      <c r="A11" s="1"/>
      <c r="B11" s="56" t="s">
        <v>80</v>
      </c>
      <c r="C11" s="22">
        <f>C9*'Fane 13. Nøgletal'!C23+C10*'Fane 13. Nøgletal'!C23</f>
        <v>634008.28837640409</v>
      </c>
      <c r="D11" s="14" t="s">
        <v>3</v>
      </c>
      <c r="E11" s="1"/>
    </row>
    <row r="12" spans="1:5" x14ac:dyDescent="0.25">
      <c r="A12" s="1"/>
      <c r="B12" s="52"/>
      <c r="C12" s="31"/>
      <c r="D12" s="19"/>
      <c r="E12" s="1"/>
    </row>
    <row r="13" spans="1:5" x14ac:dyDescent="0.25">
      <c r="A13" s="1"/>
      <c r="B13" s="1"/>
      <c r="C13" s="32"/>
      <c r="D13" s="1"/>
      <c r="E13" s="1"/>
    </row>
    <row r="14" spans="1:5" x14ac:dyDescent="0.25">
      <c r="A14" s="1"/>
      <c r="B14" s="98" t="s">
        <v>152</v>
      </c>
      <c r="C14" s="99"/>
      <c r="D14" s="100"/>
      <c r="E14" s="1"/>
    </row>
    <row r="15" spans="1:5" x14ac:dyDescent="0.25">
      <c r="A15" s="1"/>
      <c r="B15" s="56" t="s">
        <v>167</v>
      </c>
      <c r="C15" s="22">
        <f>(C9+C10-C11)*(1+'Fane 13. Nøgletal'!C11)</f>
        <v>33126108.856892221</v>
      </c>
      <c r="D15" s="14" t="s">
        <v>3</v>
      </c>
      <c r="E15" s="1"/>
    </row>
    <row r="16" spans="1:5" x14ac:dyDescent="0.25">
      <c r="A16" s="1"/>
      <c r="B16" s="56" t="s">
        <v>153</v>
      </c>
      <c r="C16" s="22">
        <f>('Fane 2.1. Økonomisk ramme 2025'!C10+'Fane 2.1. Økonomisk ramme 2025'!C12+'Fane 2.1. Økonomisk ramme 2025'!C14)*(1+'Fane 13. Nøgletal'!C11)</f>
        <v>11234863.620096959</v>
      </c>
      <c r="D16" s="14" t="s">
        <v>3</v>
      </c>
      <c r="E16" s="1"/>
    </row>
    <row r="17" spans="1:5" x14ac:dyDescent="0.25">
      <c r="A17" s="1"/>
      <c r="B17" s="56" t="s">
        <v>154</v>
      </c>
      <c r="C17" s="22">
        <f>(C15+C16)*'Fane 13. Nøgletal'!C23</f>
        <v>887219.44953978364</v>
      </c>
      <c r="D17" s="14" t="s">
        <v>3</v>
      </c>
      <c r="E17" s="1"/>
    </row>
    <row r="18" spans="1:5" x14ac:dyDescent="0.25">
      <c r="A18" s="1"/>
      <c r="B18" s="52"/>
      <c r="C18" s="31"/>
      <c r="D18" s="19"/>
      <c r="E18" s="1"/>
    </row>
    <row r="19" spans="1:5" x14ac:dyDescent="0.25">
      <c r="A19" s="1"/>
      <c r="B19" s="1"/>
      <c r="C19" s="32"/>
      <c r="D19" s="1"/>
      <c r="E19" s="1"/>
    </row>
    <row r="20" spans="1:5" x14ac:dyDescent="0.25">
      <c r="A20" s="1"/>
      <c r="B20" s="98" t="s">
        <v>169</v>
      </c>
      <c r="C20" s="99"/>
      <c r="D20" s="100"/>
      <c r="E20" s="1"/>
    </row>
    <row r="21" spans="1:5" x14ac:dyDescent="0.25">
      <c r="A21" s="1"/>
      <c r="B21" s="56" t="s">
        <v>168</v>
      </c>
      <c r="C21" s="48">
        <f>(C15+C16-C17)*(1+'Fane 13. Nøgletal'!C11)</f>
        <v>46356062.853169292</v>
      </c>
      <c r="D21" s="14" t="s">
        <v>3</v>
      </c>
      <c r="E21" s="1"/>
    </row>
    <row r="22" spans="1:5" x14ac:dyDescent="0.25">
      <c r="A22" s="1"/>
      <c r="B22" s="56" t="s">
        <v>170</v>
      </c>
      <c r="C22" s="48">
        <f>(C21)*'Fane 13. Nøgletal'!C23</f>
        <v>927121.25706338591</v>
      </c>
      <c r="D22" s="14" t="s">
        <v>3</v>
      </c>
      <c r="E22" s="1"/>
    </row>
    <row r="23" spans="1:5" x14ac:dyDescent="0.25">
      <c r="A23" s="1"/>
      <c r="B23" s="52"/>
      <c r="C23" s="31"/>
      <c r="D23" s="19"/>
      <c r="E23" s="1"/>
    </row>
    <row r="24" spans="1:5" x14ac:dyDescent="0.25">
      <c r="A24" s="1"/>
      <c r="B24" s="1"/>
      <c r="C24" s="32"/>
      <c r="D24" s="1"/>
      <c r="E24" s="1"/>
    </row>
    <row r="25" spans="1:5" x14ac:dyDescent="0.25">
      <c r="A25" s="1"/>
      <c r="B25" s="98" t="s">
        <v>115</v>
      </c>
      <c r="C25" s="99"/>
      <c r="D25" s="100"/>
      <c r="E25" s="1"/>
    </row>
    <row r="26" spans="1:5" x14ac:dyDescent="0.25">
      <c r="A26" s="1"/>
      <c r="B26" s="56" t="s">
        <v>116</v>
      </c>
      <c r="C26" s="48">
        <f>(C21-C22)*(1+'Fane 13. Nøgletal'!C11)</f>
        <v>48440880.423927724</v>
      </c>
      <c r="D26" s="14" t="s">
        <v>3</v>
      </c>
      <c r="E26" s="1"/>
    </row>
    <row r="27" spans="1:5" x14ac:dyDescent="0.25">
      <c r="A27" s="1"/>
      <c r="B27" s="56" t="s">
        <v>117</v>
      </c>
      <c r="C27" s="48">
        <f>(C26)*'Fane 13. Nøgletal'!C23</f>
        <v>968817.60847855452</v>
      </c>
      <c r="D27" s="14" t="s">
        <v>3</v>
      </c>
      <c r="E27" s="1"/>
    </row>
    <row r="28" spans="1:5" x14ac:dyDescent="0.25">
      <c r="A28" s="1"/>
      <c r="B28" s="52"/>
      <c r="C28" s="42"/>
      <c r="D28" s="19"/>
      <c r="E28" s="1"/>
    </row>
    <row r="29" spans="1:5" x14ac:dyDescent="0.25">
      <c r="A29" s="1"/>
      <c r="B29" s="1"/>
      <c r="C29" s="32"/>
      <c r="D29" s="1"/>
      <c r="E29" s="1"/>
    </row>
    <row r="30" spans="1:5" x14ac:dyDescent="0.25">
      <c r="A30" s="1"/>
      <c r="B30" s="98" t="s">
        <v>135</v>
      </c>
      <c r="C30" s="99"/>
      <c r="D30" s="100"/>
      <c r="E30" s="1"/>
    </row>
    <row r="31" spans="1:5" x14ac:dyDescent="0.25">
      <c r="A31" s="1"/>
      <c r="B31" s="56" t="s">
        <v>136</v>
      </c>
      <c r="C31" s="48">
        <f>(C26-C27)*(1+'Fane 13. Nøgletal'!C11)</f>
        <v>50619460.580113456</v>
      </c>
      <c r="D31" s="14" t="s">
        <v>3</v>
      </c>
      <c r="E31" s="1"/>
    </row>
    <row r="32" spans="1:5" x14ac:dyDescent="0.25">
      <c r="A32" s="1"/>
      <c r="B32" s="56" t="s">
        <v>137</v>
      </c>
      <c r="C32" s="48">
        <f>(C31)*'Fane 13. Nøgletal'!C23</f>
        <v>1012389.2116022691</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M7hlDUEEcUM9AIfxoBXH9qiphFaq3rCeZJ+ncdIqxrGXLX2Cwjw8+aA1OE5EX62UkFu2ug6SPzxsDZIZ7VHukA==" saltValue="pYcvCFm3PgOKN8F8o+fEr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42578125" style="2" customWidth="1"/>
    <col min="2" max="2" width="58" style="2" customWidth="1"/>
    <col min="3" max="3" width="11.5703125" style="2" customWidth="1"/>
    <col min="4" max="4" width="3.140625" style="2" customWidth="1"/>
    <col min="5" max="5" width="5.425781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53</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75</v>
      </c>
      <c r="C8" s="99"/>
      <c r="D8" s="100"/>
      <c r="E8" s="1"/>
    </row>
    <row r="9" spans="1:5" x14ac:dyDescent="0.25">
      <c r="A9" s="1"/>
      <c r="B9" s="56" t="s">
        <v>161</v>
      </c>
      <c r="C9" s="48">
        <v>17257044.997735951</v>
      </c>
      <c r="D9" s="14" t="s">
        <v>3</v>
      </c>
      <c r="E9" s="1"/>
    </row>
    <row r="10" spans="1:5" x14ac:dyDescent="0.25">
      <c r="A10" s="1"/>
      <c r="B10" s="56" t="s">
        <v>112</v>
      </c>
      <c r="C10" s="48">
        <f>('Fane 3. Omkostninger i ØR2024'!C11+'Fane 3. Omkostninger i ØR2024'!C13+'Fane 3. Omkostninger i ØR2024'!C15)*(1+'Fane 13. Nøgletal'!C10)</f>
        <v>20515433.29116736</v>
      </c>
      <c r="D10" s="14" t="s">
        <v>3</v>
      </c>
      <c r="E10" s="1"/>
    </row>
    <row r="11" spans="1:5" x14ac:dyDescent="0.25">
      <c r="A11" s="1"/>
      <c r="B11" s="56" t="s">
        <v>113</v>
      </c>
      <c r="C11" s="66">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155</v>
      </c>
      <c r="C14" s="99"/>
      <c r="D14" s="100"/>
      <c r="E14" s="1"/>
    </row>
    <row r="15" spans="1:5" x14ac:dyDescent="0.25">
      <c r="A15" s="1"/>
      <c r="B15" s="56" t="s">
        <v>162</v>
      </c>
      <c r="C15" s="48">
        <f>(C9+C10-C11)*(1+'Fane 13. Nøgletal'!C11)</f>
        <v>40276793.599457599</v>
      </c>
      <c r="D15" s="14" t="s">
        <v>3</v>
      </c>
      <c r="E15" s="1"/>
    </row>
    <row r="16" spans="1:5" x14ac:dyDescent="0.25">
      <c r="A16" s="1"/>
      <c r="B16" s="56" t="s">
        <v>156</v>
      </c>
      <c r="C16" s="48">
        <f>('Fane 2.1. Økonomisk ramme 2025'!C11+'Fane 2.1. Økonomisk ramme 2025'!C13+'Fane 2.1. Økonomisk ramme 2025'!C15)*(1+'Fane 13. Nøgletal'!C11)</f>
        <v>1230750.0806060201</v>
      </c>
      <c r="D16" s="14" t="s">
        <v>3</v>
      </c>
      <c r="E16" s="1"/>
    </row>
    <row r="17" spans="1:5" x14ac:dyDescent="0.25">
      <c r="A17" s="1"/>
      <c r="B17" s="56" t="s">
        <v>157</v>
      </c>
      <c r="C17" s="66">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165</v>
      </c>
      <c r="C20" s="99"/>
      <c r="D20" s="100"/>
      <c r="E20" s="1"/>
    </row>
    <row r="21" spans="1:5" x14ac:dyDescent="0.25">
      <c r="A21" s="1"/>
      <c r="B21" s="56" t="s">
        <v>163</v>
      </c>
      <c r="C21" s="48">
        <f>(C15+C16-C17)*(1+'Fane 13. Nøgletal'!C11)</f>
        <v>44259493.826051839</v>
      </c>
      <c r="D21" s="14" t="s">
        <v>3</v>
      </c>
      <c r="E21" s="1"/>
    </row>
    <row r="22" spans="1:5" x14ac:dyDescent="0.25">
      <c r="A22" s="1"/>
      <c r="B22" s="56" t="s">
        <v>164</v>
      </c>
      <c r="C22" s="66">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118</v>
      </c>
      <c r="C25" s="99"/>
      <c r="D25" s="100"/>
      <c r="E25" s="1"/>
    </row>
    <row r="26" spans="1:5" x14ac:dyDescent="0.25">
      <c r="A26" s="1"/>
      <c r="B26" s="56" t="s">
        <v>119</v>
      </c>
      <c r="C26" s="48">
        <f>(C21-C22)*(1+'Fane 13. Nøgletal'!C11)</f>
        <v>47193898.266719073</v>
      </c>
      <c r="D26" s="14" t="s">
        <v>3</v>
      </c>
      <c r="E26" s="1"/>
    </row>
    <row r="27" spans="1:5" x14ac:dyDescent="0.25">
      <c r="A27" s="1"/>
      <c r="B27" s="56" t="s">
        <v>120</v>
      </c>
      <c r="C27" s="66">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138</v>
      </c>
      <c r="C30" s="99"/>
      <c r="D30" s="100"/>
      <c r="E30" s="1"/>
    </row>
    <row r="31" spans="1:5" x14ac:dyDescent="0.25">
      <c r="A31" s="1"/>
      <c r="B31" s="56" t="s">
        <v>139</v>
      </c>
      <c r="C31" s="48">
        <f>(C26-C27)*(1+'Fane 13. Nøgletal'!C11)</f>
        <v>50322853.721802548</v>
      </c>
      <c r="D31" s="14" t="s">
        <v>3</v>
      </c>
      <c r="E31" s="1"/>
    </row>
    <row r="32" spans="1:5" x14ac:dyDescent="0.25">
      <c r="A32" s="1"/>
      <c r="B32" s="56" t="s">
        <v>140</v>
      </c>
      <c r="C32" s="66">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RId2oiADr5LGyBNax8hkbJJKGtBSlH5h5v9Sc7QDbYUsPMnoK3d0DCm8mbBb+EefX4Gvo1w5Dihijv4JqEosMA==" saltValue="QS5eBvTG17A4LQblNf0a9w=="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42578125" style="2" customWidth="1"/>
    <col min="2" max="2" width="57.140625" style="2" customWidth="1"/>
    <col min="3" max="3" width="12.5703125" style="2" customWidth="1"/>
    <col min="4" max="4" width="5.425781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40</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159</v>
      </c>
      <c r="C9" s="44">
        <v>3.4993900189358119E-3</v>
      </c>
      <c r="D9" s="1"/>
    </row>
    <row r="10" spans="1:4" x14ac:dyDescent="0.25">
      <c r="A10" s="1"/>
      <c r="B10" s="52"/>
      <c r="C10" s="19"/>
      <c r="D10" s="1"/>
    </row>
    <row r="11" spans="1:4" ht="15" customHeight="1" x14ac:dyDescent="0.25">
      <c r="A11" s="1"/>
      <c r="B11" s="103" t="s">
        <v>160</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801jGcHHD4w+ZJQOA2NFu4oUWA9F3cO4dY37EgbGPdNjHs1xt+/7h0dWwE0vFVhGnevBZfvbWa0h6g0rqf08lQ==" saltValue="mF9NWJf/MMZYeLgG/rhpzg=="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2024-10-04T08:20:13Z</dcterms:modified>
</cp:coreProperties>
</file>