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histed Drikkevand AS (V18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G16" i="30" l="1"/>
  <c r="E17" i="27"/>
  <c r="C12" i="19" l="1"/>
  <c r="E31" i="32" l="1"/>
  <c r="E10" i="11" l="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2" i="36" l="1"/>
  <c r="G16" i="36" s="1"/>
  <c r="G19" i="36" l="1"/>
  <c r="G23" i="36" s="1"/>
  <c r="G25" i="36" l="1"/>
  <c r="G29" i="36" s="1"/>
  <c r="G19" i="30"/>
  <c r="G23" i="30" l="1"/>
  <c r="G25" i="30" s="1"/>
  <c r="E20" i="27"/>
  <c r="E23" i="32"/>
  <c r="E37" i="32" s="1"/>
  <c r="E39" i="32" s="1"/>
  <c r="C24" i="15" l="1"/>
  <c r="C28" i="2"/>
  <c r="F11" i="1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3" i="19"/>
  <c r="C17" i="23" l="1"/>
  <c r="C17" i="22"/>
  <c r="C18" i="15"/>
  <c r="C14" i="2"/>
  <c r="C15" i="2"/>
  <c r="C22" i="2"/>
  <c r="C13" i="2"/>
  <c r="C12" i="2"/>
  <c r="G30" i="30" l="1"/>
  <c r="G29" i="30" l="1"/>
  <c r="E19" i="27"/>
  <c r="G31" i="30" l="1"/>
  <c r="E11" i="11"/>
  <c r="E10" i="37" s="1"/>
  <c r="E11" i="37" s="1"/>
  <c r="G35" i="30" l="1"/>
  <c r="G37" i="30" s="1"/>
  <c r="C18" i="2"/>
  <c r="E12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8" i="27"/>
  <c r="E21" i="27" s="1"/>
  <c r="E36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<sst xmlns="http://schemas.openxmlformats.org/spreadsheetml/2006/main" count="587" uniqueCount="246">
  <si>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</si>
  <si>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</si>
  <si>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</si>
  <si>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</si>
  <si>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</si>
  <si>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</si>
  <si>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</si>
  <si>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</si>
  <si>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</si>
  <si>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</si>
  <si>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</si>
  <si>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</si>
  <si>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</si>
  <si>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</si>
  <si>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</si>
  <si>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</si>
  <si>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</si>
  <si>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</si>
  <si>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</si>
  <si>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</si>
  <si>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</si>
  <si>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</si>
  <si>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</si>
  <si>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</si>
  <si>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</si>
  <si>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</si>
  <si>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</si>
  <si>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</si>
  <si>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</si>
  <si>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</si>
  <si>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</si>
  <si>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</si>
  <si>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</si>
  <si>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</si>
  <si>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</si>
  <si>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</si>
  <si>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</si>
  <si>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</si>
  <si>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</si>
  <si>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</si>
  <si>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</si>
  <si>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</si>
  <si>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</si>
  <si>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</si>
  <si>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</si>
  <si>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</si>
  <si>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</si>
  <si>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</si>
  <si>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</si>
  <si>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</si>
  <si>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</si>
  <si>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</si>
  <si>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</si>
  <si>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</si>
  <si>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</si>
  <si>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</si>
  <si>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</si>
  <si>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</si>
  <si>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</si>
  <si>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</si>
  <si>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</si>
  <si>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</si>
  <si>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</si>
  <si>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</si>
  <si>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</si>
  <si>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</si>
  <si>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</si>
  <si>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</si>
  <si>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</si>
  <si>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</si>
  <si>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</si>
  <si>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</si>
  <si>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</si>
  <si>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</si>
  <si>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</si>
  <si>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</si>
  <si>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</si>
  <si>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</si>
  <si>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</si>
  <si>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</si>
  <si>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</si>
  <si>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</si>
  <si>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</si>
  <si>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</si>
  <si>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</si>
  <si>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</si>
  <si>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</si>
  <si>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</si>
  <si>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</si>
  <si>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</si>
  <si>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</si>
  <si>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</si>
  <si>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</si>
  <si>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</si>
  <si>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</si>
  <si>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</si>
  <si>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</si>
  <si>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</si>
  <si>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</si>
  <si>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</si>
  <si>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</si>
  <si>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</si>
  <si>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</si>
  <si>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</si>
  <si>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</si>
  <si>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</si>
  <si>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</si>
  <si>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</si>
  <si>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</si>
  <si>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</si>
  <si>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</si>
  <si>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</si>
  <si>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</si>
  <si>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</si>
  <si>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</si>
  <si>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</si>
  <si>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</si>
  <si>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</si>
  <si>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</si>
  <si>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</si>
  <si>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</si>
  <si>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</si>
  <si>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</si>
  <si>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</si>
  <si>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</si>
  <si>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</si>
  <si>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</si>
  <si>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</si>
  <si>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</si>
  <si>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</si>
  <si>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</si>
  <si>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</si>
  <si>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</si>
  <si>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</si>
  <si>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</si>
  <si>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</si>
  <si>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</si>
  <si>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</si>
  <si>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</si>
  <si>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</si>
  <si>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</si>
  <si>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</si>
  <si>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</si>
  <si>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</si>
  <si>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</si>
  <si>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</si>
  <si>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</si>
  <si>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</si>
  <si>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</si>
  <si>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</si>
  <si>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</si>
  <si>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</si>
  <si>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</si>
  <si>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</si>
  <si>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</si>
  <si>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</si>
  <si>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</si>
  <si>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</si>
  <si>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</si>
  <si>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</si>
  <si>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</si>
  <si>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</si>
  <si>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</si>
  <si>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</si>
  <si>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</si>
  <si>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</si>
  <si>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</si>
  <si>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</si>
  <si>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</si>
  <si>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</si>
  <si>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</si>
  <si>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</si>
  <si>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</si>
  <si>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</si>
  <si>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</si>
  <si>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</si>
  <si>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</si>
  <si>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</si>
  <si>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</si>
  <si>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</si>
  <si>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</si>
  <si>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</si>
  <si>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</si>
  <si>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</si>
  <si>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</si>
  <si>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</si>
  <si>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</si>
  <si>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</si>
  <si>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</si>
  <si>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</si>
  <si>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</si>
  <si>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</si>
  <si>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</si>
  <si>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</si>
  <si>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</si>
  <si>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</si>
  <si>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</si>
  <si>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</si>
  <si>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</si>
  <si>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</si>
  <si>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</si>
  <si>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</si>
  <si>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</si>
  <si>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</si>
  <si>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</si>
  <si>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</si>
  <si>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</si>
  <si>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</si>
  <si>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</si>
  <si>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</si>
  <si>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</si>
  <si>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</si>
  <si>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</si>
  <si>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</si>
  <si>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</si>
  <si>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</si>
  <si>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</si>
  <si>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</si>
  <si>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</si>
  <si>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</si>
  <si>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</si>
  <si>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</si>
  <si>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</si>
  <si>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</si>
  <si>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</si>
  <si>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</si>
  <si>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</si>
  <si>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</si>
  <si>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</si>
  <si>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</si>
  <si>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</si>
  <si>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</si>
  <si>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</si>
  <si>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</si>
  <si>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</si>
  <si>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</si>
  <si>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Ingen engangstillæg</t>
  </si>
  <si>
    <t>Ingen tilknyttet virksomhed</t>
  </si>
  <si>
    <t>Ingen bortfald eller nedsættelse</t>
  </si>
  <si>
    <t>Økonomisk ramme for 2024</t>
  </si>
  <si>
    <t>Ingen anlægsprojekter</t>
  </si>
  <si>
    <t>Yderligere opkrævningsret efter § 17, stk. 10 - 2017</t>
  </si>
  <si>
    <t>Yderligere opkrævningsret efter § 17, stk. 10 - 2018</t>
  </si>
  <si>
    <t>Tillæg for forkert beregnet generelt effektiviseringskrav</t>
  </si>
  <si>
    <t>Ekstraordinær engangskorrektion</t>
  </si>
  <si>
    <t>Engangskorrektion for forkert beregnet generelt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</si>
</sst>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vertical="center" wrapText="1"/>
    </xf>
    <xf numFmtId="0" fontId="8" fillId="8" borderId="6" xfId="0" applyFont="1" applyFill="1" applyBorder="1" applyAlignment="1" applyProtection="1">
      <alignment horizontal="left" vertical="center" wrapText="1"/>
    </xf>
    <xf numFmtId="0" fontId="8" fillId="8" borderId="3" xfId="0" applyFont="1" applyFill="1" applyBorder="1" applyAlignment="1" applyProtection="1">
      <alignment horizontal="left" vertical="center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5" t="s">
        <v>4</v>
      </c>
      <c r="E6" s="65"/>
      <c r="F6" s="65"/>
      <c r="G6" s="65"/>
      <c r="H6" s="3"/>
      <c r="I6" s="1"/>
    </row>
    <row r="7" spans="1:9" ht="15" customHeight="1" x14ac:dyDescent="0.45">
      <c r="A7" s="1"/>
      <c r="B7" s="1"/>
      <c r="C7" s="3"/>
      <c r="D7" s="65"/>
      <c r="E7" s="65"/>
      <c r="F7" s="65"/>
      <c r="G7" s="65"/>
      <c r="H7" s="3"/>
      <c r="I7" s="1"/>
    </row>
    <row r="8" spans="1:9" ht="15.75" x14ac:dyDescent="0.5">
      <c r="A8" s="1"/>
      <c r="B8" s="1"/>
      <c r="C8" s="4"/>
      <c r="D8" s="67" t="s">
        <v>206</v>
      </c>
      <c r="E8" s="67"/>
      <c r="F8" s="67"/>
      <c r="G8" s="67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6" t="s">
        <v>5</v>
      </c>
      <c r="E11" s="66"/>
      <c r="F11" s="66"/>
      <c r="G11" s="66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2" t="s">
        <v>151</v>
      </c>
      <c r="E13" s="63"/>
      <c r="F13" s="63"/>
      <c r="G13" s="64"/>
      <c r="H13" s="1"/>
      <c r="I13" s="1"/>
    </row>
    <row r="14" spans="1:9" x14ac:dyDescent="0.45">
      <c r="A14" s="1"/>
      <c r="B14" s="1"/>
      <c r="C14" s="6" t="s">
        <v>15</v>
      </c>
      <c r="D14" s="62" t="s">
        <v>207</v>
      </c>
      <c r="E14" s="63"/>
      <c r="F14" s="63"/>
      <c r="G14" s="64"/>
      <c r="H14" s="1"/>
      <c r="I14" s="1"/>
    </row>
    <row r="15" spans="1:9" x14ac:dyDescent="0.45">
      <c r="A15" s="1"/>
      <c r="B15" s="1"/>
      <c r="C15" s="6" t="s">
        <v>40</v>
      </c>
      <c r="D15" s="62" t="s">
        <v>93</v>
      </c>
      <c r="E15" s="63"/>
      <c r="F15" s="63"/>
      <c r="G15" s="64"/>
      <c r="H15" s="1"/>
      <c r="I15" s="1"/>
    </row>
    <row r="16" spans="1:9" x14ac:dyDescent="0.45">
      <c r="A16" s="1"/>
      <c r="B16" s="1"/>
      <c r="C16" s="6" t="s">
        <v>41</v>
      </c>
      <c r="D16" s="62" t="s">
        <v>152</v>
      </c>
      <c r="E16" s="63"/>
      <c r="F16" s="63"/>
      <c r="G16" s="64"/>
      <c r="H16" s="1"/>
      <c r="I16" s="1"/>
    </row>
    <row r="17" spans="1:9" x14ac:dyDescent="0.45">
      <c r="A17" s="1"/>
      <c r="B17" s="1"/>
      <c r="C17" s="6" t="s">
        <v>150</v>
      </c>
      <c r="D17" s="62" t="s">
        <v>153</v>
      </c>
      <c r="E17" s="63"/>
      <c r="F17" s="63"/>
      <c r="G17" s="64"/>
      <c r="H17" s="1"/>
      <c r="I17" s="1"/>
    </row>
    <row r="18" spans="1:9" x14ac:dyDescent="0.45">
      <c r="A18" s="1"/>
      <c r="B18" s="1"/>
      <c r="C18" s="33" t="s">
        <v>134</v>
      </c>
      <c r="D18" s="68" t="s">
        <v>114</v>
      </c>
      <c r="E18" s="69"/>
      <c r="F18" s="69"/>
      <c r="G18" s="70"/>
      <c r="H18" s="1"/>
      <c r="I18" s="1"/>
    </row>
    <row r="19" spans="1:9" x14ac:dyDescent="0.45">
      <c r="A19" s="1"/>
      <c r="B19" s="1"/>
      <c r="C19" s="33" t="s">
        <v>135</v>
      </c>
      <c r="D19" s="68" t="s">
        <v>115</v>
      </c>
      <c r="E19" s="69"/>
      <c r="F19" s="69"/>
      <c r="G19" s="70"/>
      <c r="H19" s="1"/>
      <c r="I19" s="1"/>
    </row>
    <row r="20" spans="1:9" x14ac:dyDescent="0.45">
      <c r="A20" s="1"/>
      <c r="B20" s="1"/>
      <c r="C20" s="33" t="s">
        <v>7</v>
      </c>
      <c r="D20" s="68" t="s">
        <v>9</v>
      </c>
      <c r="E20" s="69"/>
      <c r="F20" s="69"/>
      <c r="G20" s="70"/>
      <c r="H20" s="1"/>
      <c r="I20" s="1"/>
    </row>
    <row r="21" spans="1:9" x14ac:dyDescent="0.45">
      <c r="A21" s="1"/>
      <c r="B21" s="1"/>
      <c r="C21" s="6" t="s">
        <v>136</v>
      </c>
      <c r="D21" s="59" t="s">
        <v>12</v>
      </c>
      <c r="E21" s="60"/>
      <c r="F21" s="60"/>
      <c r="G21" s="61"/>
      <c r="H21" s="1"/>
      <c r="I21" s="1"/>
    </row>
    <row r="22" spans="1:9" x14ac:dyDescent="0.45">
      <c r="A22" s="1"/>
      <c r="B22" s="1"/>
      <c r="C22" s="6" t="s">
        <v>97</v>
      </c>
      <c r="D22" s="53" t="s">
        <v>154</v>
      </c>
      <c r="E22" s="54"/>
      <c r="F22" s="54"/>
      <c r="G22" s="55"/>
      <c r="H22" s="1"/>
      <c r="I22" s="1"/>
    </row>
    <row r="23" spans="1:9" x14ac:dyDescent="0.45">
      <c r="A23" s="1"/>
      <c r="B23" s="1"/>
      <c r="C23" s="6" t="s">
        <v>8</v>
      </c>
      <c r="D23" s="53" t="s">
        <v>42</v>
      </c>
      <c r="E23" s="54"/>
      <c r="F23" s="54"/>
      <c r="G23" s="55"/>
      <c r="H23" s="1"/>
      <c r="I23" s="1"/>
    </row>
    <row r="24" spans="1:9" x14ac:dyDescent="0.45">
      <c r="A24" s="1"/>
      <c r="B24" s="1"/>
      <c r="C24" s="6" t="s">
        <v>217</v>
      </c>
      <c r="D24" s="53" t="s">
        <v>98</v>
      </c>
      <c r="E24" s="54"/>
      <c r="F24" s="54"/>
      <c r="G24" s="55"/>
      <c r="H24" s="1"/>
      <c r="I24" s="1"/>
    </row>
    <row r="25" spans="1:9" x14ac:dyDescent="0.45">
      <c r="A25" s="1"/>
      <c r="B25" s="1"/>
      <c r="C25" s="6" t="s">
        <v>218</v>
      </c>
      <c r="D25" s="53" t="s">
        <v>99</v>
      </c>
      <c r="E25" s="54"/>
      <c r="F25" s="54"/>
      <c r="G25" s="55"/>
      <c r="H25" s="1"/>
      <c r="I25" s="1"/>
    </row>
    <row r="26" spans="1:9" x14ac:dyDescent="0.45">
      <c r="A26" s="1"/>
      <c r="B26" s="1"/>
      <c r="C26" s="6" t="s">
        <v>219</v>
      </c>
      <c r="D26" s="53" t="s">
        <v>155</v>
      </c>
      <c r="E26" s="54"/>
      <c r="F26" s="54"/>
      <c r="G26" s="55"/>
      <c r="H26" s="1"/>
      <c r="I26" s="1"/>
    </row>
    <row r="27" spans="1:9" x14ac:dyDescent="0.45">
      <c r="A27" s="1"/>
      <c r="B27" s="1"/>
      <c r="C27" s="6" t="s">
        <v>137</v>
      </c>
      <c r="D27" s="53" t="s">
        <v>43</v>
      </c>
      <c r="E27" s="54"/>
      <c r="F27" s="54"/>
      <c r="G27" s="55"/>
      <c r="H27" s="1"/>
      <c r="I27" s="1"/>
    </row>
    <row r="28" spans="1:9" x14ac:dyDescent="0.45">
      <c r="A28" s="1"/>
      <c r="B28" s="1"/>
      <c r="C28" s="6" t="s">
        <v>128</v>
      </c>
      <c r="D28" s="56" t="s">
        <v>129</v>
      </c>
      <c r="E28" s="57"/>
      <c r="F28" s="57"/>
      <c r="G28" s="58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1" t="s">
        <v>140</v>
      </c>
      <c r="C3" s="71"/>
      <c r="D3" s="71"/>
      <c r="E3" s="1"/>
      <c r="F3" s="1"/>
    </row>
    <row r="4" spans="1:6" ht="15" customHeight="1" x14ac:dyDescent="0.45">
      <c r="A4" s="1"/>
      <c r="B4" s="71"/>
      <c r="C4" s="71"/>
      <c r="D4" s="71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7" t="s">
        <v>168</v>
      </c>
      <c r="C8" s="98"/>
      <c r="D8" s="99"/>
      <c r="E8" s="1"/>
      <c r="F8" s="1"/>
    </row>
    <row r="9" spans="1:6" ht="15" customHeight="1" x14ac:dyDescent="0.45">
      <c r="A9" s="1"/>
      <c r="B9" s="40" t="s">
        <v>35</v>
      </c>
      <c r="C9" s="11" t="s">
        <v>171</v>
      </c>
      <c r="D9" s="11"/>
      <c r="E9" s="1"/>
      <c r="F9" s="1"/>
    </row>
    <row r="10" spans="1:6" x14ac:dyDescent="0.45">
      <c r="A10" s="1"/>
      <c r="B10" s="48" t="s">
        <v>234</v>
      </c>
      <c r="C10" s="9">
        <v>21242535</v>
      </c>
      <c r="D10" s="14" t="s">
        <v>3</v>
      </c>
      <c r="E10" s="1"/>
      <c r="F10" s="1"/>
    </row>
    <row r="11" spans="1:6" x14ac:dyDescent="0.45">
      <c r="A11" s="1"/>
      <c r="B11" s="48" t="s">
        <v>235</v>
      </c>
      <c r="C11" s="9">
        <v>102161</v>
      </c>
      <c r="D11" s="14" t="s">
        <v>3</v>
      </c>
      <c r="E11" s="1"/>
      <c r="F11" s="1"/>
    </row>
    <row r="12" spans="1:6" x14ac:dyDescent="0.45">
      <c r="A12" s="1"/>
      <c r="B12" s="45" t="s">
        <v>169</v>
      </c>
      <c r="C12" s="12">
        <f>SUM(C10:C11)</f>
        <v>21344696</v>
      </c>
      <c r="D12" s="13" t="s">
        <v>3</v>
      </c>
      <c r="E12" s="1"/>
      <c r="F12" s="1"/>
    </row>
    <row r="13" spans="1:6" x14ac:dyDescent="0.45">
      <c r="A13" s="1"/>
      <c r="B13" s="45" t="s">
        <v>170</v>
      </c>
      <c r="C13" s="12">
        <f>C12*(1+'Fane 12. Nøgletal'!C13)^2</f>
        <v>21868683.526952639</v>
      </c>
      <c r="D13" s="13" t="s">
        <v>3</v>
      </c>
      <c r="E13" s="1"/>
      <c r="F13" s="1"/>
    </row>
    <row r="14" spans="1:6" x14ac:dyDescent="0.45">
      <c r="A14" s="1"/>
      <c r="B14" s="16"/>
      <c r="C14" s="15"/>
      <c r="D14" s="15"/>
      <c r="E14" s="1"/>
      <c r="F14" s="1"/>
    </row>
    <row r="15" spans="1:6" x14ac:dyDescent="0.45">
      <c r="A15" s="1"/>
      <c r="B15" s="16"/>
      <c r="C15" s="15"/>
      <c r="D15" s="15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81" t="s">
        <v>172</v>
      </c>
      <c r="C2" s="81"/>
      <c r="D2" s="81"/>
      <c r="E2" s="81"/>
      <c r="F2" s="81"/>
      <c r="G2" s="1"/>
    </row>
    <row r="3" spans="1:7" ht="15" customHeight="1" x14ac:dyDescent="0.45">
      <c r="A3" s="1"/>
      <c r="B3" s="81"/>
      <c r="C3" s="81"/>
      <c r="D3" s="81"/>
      <c r="E3" s="81"/>
      <c r="F3" s="81"/>
      <c r="G3" s="1"/>
    </row>
    <row r="4" spans="1:7" ht="15" customHeight="1" x14ac:dyDescent="0.45">
      <c r="A4" s="1"/>
      <c r="B4" s="97" t="s">
        <v>39</v>
      </c>
      <c r="C4" s="98"/>
      <c r="D4" s="98"/>
      <c r="E4" s="98"/>
      <c r="F4" s="99"/>
      <c r="G4" s="1"/>
    </row>
    <row r="5" spans="1:7" ht="15" customHeight="1" x14ac:dyDescent="0.45">
      <c r="A5" s="1"/>
      <c r="B5" s="100" t="s">
        <v>37</v>
      </c>
      <c r="C5" s="101"/>
      <c r="D5" s="102"/>
      <c r="E5" s="9">
        <v>294490.24147212011</v>
      </c>
      <c r="F5" s="14" t="s">
        <v>3</v>
      </c>
      <c r="G5" s="1"/>
    </row>
    <row r="6" spans="1:7" ht="15" customHeight="1" x14ac:dyDescent="0.45">
      <c r="A6" s="1"/>
      <c r="B6" s="100" t="s">
        <v>38</v>
      </c>
      <c r="C6" s="101"/>
      <c r="D6" s="102"/>
      <c r="E6" s="9">
        <v>7398460.688322641</v>
      </c>
      <c r="F6" s="14" t="s">
        <v>3</v>
      </c>
      <c r="G6" s="1"/>
    </row>
    <row r="7" spans="1:7" ht="15" customHeight="1" x14ac:dyDescent="0.45">
      <c r="A7" s="1"/>
      <c r="B7" s="108" t="s">
        <v>131</v>
      </c>
      <c r="C7" s="109"/>
      <c r="D7" s="110"/>
      <c r="E7" s="10">
        <f>SUM(E5:E6)</f>
        <v>7692950.9297947614</v>
      </c>
      <c r="F7" s="17" t="s">
        <v>3</v>
      </c>
      <c r="G7" s="1"/>
    </row>
    <row r="8" spans="1:7" ht="15" customHeight="1" x14ac:dyDescent="0.45">
      <c r="A8" s="1"/>
      <c r="B8" s="45"/>
      <c r="C8" s="46"/>
      <c r="D8" s="46"/>
      <c r="E8" s="46"/>
      <c r="F8" s="20"/>
      <c r="G8" s="1"/>
    </row>
    <row r="9" spans="1:7" ht="28.5" customHeight="1" x14ac:dyDescent="0.45">
      <c r="A9" s="1"/>
      <c r="B9" s="88" t="s">
        <v>132</v>
      </c>
      <c r="C9" s="89"/>
      <c r="D9" s="89"/>
      <c r="E9" s="89"/>
      <c r="F9" s="90"/>
      <c r="G9" s="1"/>
    </row>
    <row r="10" spans="1:7" ht="28.5" customHeight="1" x14ac:dyDescent="0.45">
      <c r="A10" s="1"/>
      <c r="B10" s="1"/>
      <c r="C10" s="1"/>
      <c r="D10" s="1"/>
      <c r="E10" s="1"/>
      <c r="F10" s="1"/>
      <c r="G10" s="1"/>
    </row>
    <row r="11" spans="1:7" x14ac:dyDescent="0.45">
      <c r="A11" s="1"/>
      <c r="B11" s="97" t="s">
        <v>116</v>
      </c>
      <c r="C11" s="98"/>
      <c r="D11" s="98"/>
      <c r="E11" s="98"/>
      <c r="F11" s="99"/>
      <c r="G11" s="1"/>
    </row>
    <row r="12" spans="1:7" x14ac:dyDescent="0.45">
      <c r="A12" s="1"/>
      <c r="B12" s="100" t="s">
        <v>117</v>
      </c>
      <c r="C12" s="101"/>
      <c r="D12" s="102"/>
      <c r="E12" s="9">
        <v>46198395.324341036</v>
      </c>
      <c r="F12" s="14" t="s">
        <v>3</v>
      </c>
      <c r="G12" s="1"/>
    </row>
    <row r="13" spans="1:7" x14ac:dyDescent="0.45">
      <c r="A13" s="1"/>
      <c r="B13" s="100" t="s">
        <v>118</v>
      </c>
      <c r="C13" s="101"/>
      <c r="D13" s="102"/>
      <c r="E13" s="9">
        <v>43309872</v>
      </c>
      <c r="F13" s="14" t="s">
        <v>3</v>
      </c>
      <c r="G13" s="1"/>
    </row>
    <row r="14" spans="1:7" x14ac:dyDescent="0.45">
      <c r="A14" s="1"/>
      <c r="B14" s="100" t="s">
        <v>36</v>
      </c>
      <c r="C14" s="101"/>
      <c r="D14" s="102"/>
      <c r="E14" s="9">
        <v>0</v>
      </c>
      <c r="F14" s="14" t="s">
        <v>3</v>
      </c>
      <c r="G14" s="1"/>
    </row>
    <row r="15" spans="1:7" x14ac:dyDescent="0.45">
      <c r="A15" s="1"/>
      <c r="B15" s="108" t="s">
        <v>208</v>
      </c>
      <c r="C15" s="109"/>
      <c r="D15" s="110"/>
      <c r="E15" s="10">
        <f>E12-(E13-E14)</f>
        <v>2888523.3243410364</v>
      </c>
      <c r="F15" s="17" t="s">
        <v>3</v>
      </c>
      <c r="G15" s="1"/>
    </row>
    <row r="16" spans="1:7" x14ac:dyDescent="0.45">
      <c r="A16" s="1"/>
      <c r="B16" s="45"/>
      <c r="C16" s="46"/>
      <c r="D16" s="46"/>
      <c r="E16" s="46"/>
      <c r="F16" s="20"/>
      <c r="G16" s="1"/>
    </row>
    <row r="17" spans="1:7" ht="30" customHeight="1" x14ac:dyDescent="0.45">
      <c r="A17" s="1"/>
      <c r="B17" s="88" t="s">
        <v>133</v>
      </c>
      <c r="C17" s="89"/>
      <c r="D17" s="89"/>
      <c r="E17" s="89"/>
      <c r="F17" s="90"/>
      <c r="G17" s="1"/>
    </row>
    <row r="18" spans="1:7" ht="28.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97" t="s">
        <v>50</v>
      </c>
      <c r="C19" s="98"/>
      <c r="D19" s="98"/>
      <c r="E19" s="98"/>
      <c r="F19" s="99"/>
      <c r="G19" s="1"/>
    </row>
    <row r="20" spans="1:7" x14ac:dyDescent="0.45">
      <c r="A20" s="1"/>
      <c r="B20" s="100" t="s">
        <v>51</v>
      </c>
      <c r="C20" s="101"/>
      <c r="D20" s="102"/>
      <c r="E20" s="9">
        <v>46049514.641116351</v>
      </c>
      <c r="F20" s="14" t="s">
        <v>3</v>
      </c>
      <c r="G20" s="1"/>
    </row>
    <row r="21" spans="1:7" x14ac:dyDescent="0.45">
      <c r="A21" s="1"/>
      <c r="B21" s="100" t="s">
        <v>52</v>
      </c>
      <c r="C21" s="101"/>
      <c r="D21" s="102"/>
      <c r="E21" s="9">
        <v>49201924</v>
      </c>
      <c r="F21" s="14" t="s">
        <v>3</v>
      </c>
      <c r="G21" s="1"/>
    </row>
    <row r="22" spans="1:7" x14ac:dyDescent="0.45">
      <c r="A22" s="1"/>
      <c r="B22" s="100" t="s">
        <v>36</v>
      </c>
      <c r="C22" s="101"/>
      <c r="D22" s="102"/>
      <c r="E22" s="9">
        <v>0</v>
      </c>
      <c r="F22" s="14" t="s">
        <v>3</v>
      </c>
      <c r="G22" s="1"/>
    </row>
    <row r="23" spans="1:7" x14ac:dyDescent="0.45">
      <c r="A23" s="1"/>
      <c r="B23" s="108" t="s">
        <v>209</v>
      </c>
      <c r="C23" s="109"/>
      <c r="D23" s="110"/>
      <c r="E23" s="10">
        <f>E20-(E21-E22)</f>
        <v>-3152409.3588836491</v>
      </c>
      <c r="F23" s="17" t="s">
        <v>3</v>
      </c>
      <c r="G23" s="1"/>
    </row>
    <row r="24" spans="1:7" x14ac:dyDescent="0.45">
      <c r="A24" s="1"/>
      <c r="B24" s="45"/>
      <c r="C24" s="46"/>
      <c r="D24" s="46"/>
      <c r="E24" s="46"/>
      <c r="F24" s="20"/>
      <c r="G24" s="1"/>
    </row>
    <row r="25" spans="1:7" ht="28.5" customHeight="1" x14ac:dyDescent="0.45">
      <c r="A25" s="1"/>
      <c r="B25" s="88" t="s">
        <v>179</v>
      </c>
      <c r="C25" s="89"/>
      <c r="D25" s="89"/>
      <c r="E25" s="89"/>
      <c r="F25" s="90"/>
      <c r="G25" s="1"/>
    </row>
    <row r="26" spans="1:7" ht="28.5" customHeight="1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97" t="s">
        <v>200</v>
      </c>
      <c r="C27" s="98"/>
      <c r="D27" s="98"/>
      <c r="E27" s="98"/>
      <c r="F27" s="99"/>
      <c r="G27" s="1"/>
    </row>
    <row r="28" spans="1:7" x14ac:dyDescent="0.45">
      <c r="A28" s="1"/>
      <c r="B28" s="100" t="s">
        <v>201</v>
      </c>
      <c r="C28" s="101"/>
      <c r="D28" s="102"/>
      <c r="E28" s="9">
        <v>51187118.934585795</v>
      </c>
      <c r="F28" s="14" t="s">
        <v>3</v>
      </c>
      <c r="G28" s="1"/>
    </row>
    <row r="29" spans="1:7" x14ac:dyDescent="0.45">
      <c r="A29" s="1"/>
      <c r="B29" s="100" t="s">
        <v>202</v>
      </c>
      <c r="C29" s="101"/>
      <c r="D29" s="102"/>
      <c r="E29" s="9">
        <v>47552842</v>
      </c>
      <c r="F29" s="14" t="s">
        <v>3</v>
      </c>
      <c r="G29" s="1"/>
    </row>
    <row r="30" spans="1:7" x14ac:dyDescent="0.45">
      <c r="A30" s="1"/>
      <c r="B30" s="100" t="s">
        <v>36</v>
      </c>
      <c r="C30" s="101"/>
      <c r="D30" s="102"/>
      <c r="E30" s="9">
        <v>0</v>
      </c>
      <c r="F30" s="14" t="s">
        <v>3</v>
      </c>
      <c r="G30" s="1"/>
    </row>
    <row r="31" spans="1:7" x14ac:dyDescent="0.45">
      <c r="A31" s="1"/>
      <c r="B31" s="108" t="s">
        <v>210</v>
      </c>
      <c r="C31" s="109"/>
      <c r="D31" s="110"/>
      <c r="E31" s="10">
        <f>E28-(E29-E30)</f>
        <v>3634276.9345857948</v>
      </c>
      <c r="F31" s="17" t="s">
        <v>3</v>
      </c>
      <c r="G31" s="1"/>
    </row>
    <row r="32" spans="1:7" x14ac:dyDescent="0.45">
      <c r="A32" s="1"/>
      <c r="B32" s="45"/>
      <c r="C32" s="46"/>
      <c r="D32" s="46"/>
      <c r="E32" s="46"/>
      <c r="F32" s="20"/>
      <c r="G32" s="1"/>
    </row>
    <row r="33" spans="1:7" ht="28.5" customHeight="1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97" t="s">
        <v>125</v>
      </c>
      <c r="C34" s="98"/>
      <c r="D34" s="98"/>
      <c r="E34" s="98"/>
      <c r="F34" s="99"/>
      <c r="G34" s="1"/>
    </row>
    <row r="35" spans="1:7" x14ac:dyDescent="0.45">
      <c r="A35" s="1"/>
      <c r="B35" s="111" t="s">
        <v>241</v>
      </c>
      <c r="C35" s="112"/>
      <c r="D35" s="113"/>
      <c r="E35" s="9">
        <v>1</v>
      </c>
      <c r="F35" s="14"/>
      <c r="G35" s="1"/>
    </row>
    <row r="36" spans="1:7" x14ac:dyDescent="0.45">
      <c r="A36" s="1"/>
      <c r="B36" s="111" t="s">
        <v>242</v>
      </c>
      <c r="C36" s="112"/>
      <c r="D36" s="113"/>
      <c r="E36" s="9">
        <v>0</v>
      </c>
      <c r="F36" s="14"/>
      <c r="G36" s="1"/>
    </row>
    <row r="37" spans="1:7" x14ac:dyDescent="0.45">
      <c r="A37" s="1"/>
      <c r="B37" s="111" t="s">
        <v>113</v>
      </c>
      <c r="C37" s="112"/>
      <c r="D37" s="113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-263886.03454261273</v>
      </c>
      <c r="F37" s="14" t="s">
        <v>3</v>
      </c>
      <c r="G37" s="1"/>
    </row>
    <row r="38" spans="1:7" x14ac:dyDescent="0.45">
      <c r="A38" s="1"/>
      <c r="B38" s="111" t="s">
        <v>130</v>
      </c>
      <c r="C38" s="112"/>
      <c r="D38" s="113"/>
      <c r="E38" s="9">
        <v>2</v>
      </c>
      <c r="F38" s="14" t="s">
        <v>19</v>
      </c>
      <c r="G38" s="1"/>
    </row>
    <row r="39" spans="1:7" ht="15" customHeight="1" x14ac:dyDescent="0.45">
      <c r="A39" s="1"/>
      <c r="B39" s="114" t="s">
        <v>203</v>
      </c>
      <c r="C39" s="114"/>
      <c r="D39" s="114"/>
      <c r="E39" s="10">
        <f>E37/E38</f>
        <v>-131943.01727130637</v>
      </c>
      <c r="F39" s="17" t="s">
        <v>3</v>
      </c>
      <c r="G39" s="1"/>
    </row>
    <row r="40" spans="1:7" x14ac:dyDescent="0.45">
      <c r="A40" s="1"/>
      <c r="B40" s="97"/>
      <c r="C40" s="98"/>
      <c r="D40" s="98"/>
      <c r="E40" s="98"/>
      <c r="F40" s="99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4" spans="1:7" x14ac:dyDescent="0.45">
      <c r="A44" s="37"/>
      <c r="B44" s="37"/>
      <c r="C44" s="37"/>
      <c r="D44" s="37"/>
      <c r="E44" s="37"/>
      <c r="F44" s="37"/>
      <c r="G44" s="37"/>
    </row>
    <row r="45" spans="1:7" x14ac:dyDescent="0.45">
      <c r="A45" s="37"/>
      <c r="B45" s="37"/>
      <c r="C45" s="37"/>
      <c r="D45" s="37"/>
      <c r="E45" s="37"/>
      <c r="F45" s="37"/>
      <c r="G45" s="37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</sheetData>
  <sheetProtection algorithmName="SHA-512" hashValue="xclNXHPJSgLDXP9z3AEnfI7PY/rRH4wyDZCJtKEKiWYFp8G6A1HX4Lz6nyfZI5JBh8VnzPZbrMOYXlYaLCFH6Q==" saltValue="NdPPsn/0gfli1JqkeZ2FCw==" spinCount="100000" sheet="1" objects="1" scenarios="1"/>
  <mergeCells count="30"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1" t="s">
        <v>216</v>
      </c>
      <c r="C3" s="71"/>
      <c r="D3" s="71"/>
      <c r="E3" s="71"/>
      <c r="F3" s="71"/>
      <c r="G3" s="71"/>
      <c r="H3" s="71"/>
      <c r="I3" s="1"/>
    </row>
    <row r="4" spans="1:9" ht="15" customHeight="1" x14ac:dyDescent="0.4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7" t="s">
        <v>197</v>
      </c>
      <c r="C8" s="98"/>
      <c r="D8" s="98"/>
      <c r="E8" s="98"/>
      <c r="F8" s="98"/>
      <c r="G8" s="98"/>
      <c r="H8" s="99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2"/>
      <c r="I9" s="1"/>
    </row>
    <row r="10" spans="1:9" x14ac:dyDescent="0.45">
      <c r="A10" s="1"/>
      <c r="B10" s="51" t="s">
        <v>240</v>
      </c>
      <c r="C10" s="5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45">
      <c r="A11" s="1"/>
      <c r="B11" s="97" t="s">
        <v>198</v>
      </c>
      <c r="C11" s="98"/>
      <c r="D11" s="99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1" t="s">
        <v>215</v>
      </c>
      <c r="C3" s="71"/>
      <c r="D3" s="71"/>
      <c r="E3" s="71"/>
      <c r="F3" s="71"/>
      <c r="G3" s="1"/>
    </row>
    <row r="4" spans="1:7" ht="15" customHeight="1" x14ac:dyDescent="0.45">
      <c r="A4" s="1"/>
      <c r="B4" s="71"/>
      <c r="C4" s="71"/>
      <c r="D4" s="71"/>
      <c r="E4" s="71"/>
      <c r="F4" s="7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94</v>
      </c>
      <c r="C8" s="46"/>
      <c r="D8" s="46"/>
      <c r="E8" s="46"/>
      <c r="F8" s="20"/>
      <c r="G8" s="1"/>
    </row>
    <row r="9" spans="1:7" ht="17.25" customHeight="1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45">
      <c r="A11" s="1"/>
      <c r="B11" s="45" t="s">
        <v>48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5" t="s">
        <v>173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V2Se2HBUj1l69azCaIDDLmlYkVMAVv0pZGwaPA8X9/blCTwk460QzydYsB/nPH49O/z0BFGRq7K13tm9RyFmIw==" saltValue="zUbNnZdDQVq/pCKtCPrX8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1" t="s">
        <v>214</v>
      </c>
      <c r="C3" s="71"/>
      <c r="D3" s="71"/>
      <c r="E3" s="71"/>
      <c r="F3" s="71"/>
      <c r="G3" s="1"/>
    </row>
    <row r="4" spans="1:7" ht="15" customHeight="1" x14ac:dyDescent="0.45">
      <c r="A4" s="1"/>
      <c r="B4" s="71"/>
      <c r="C4" s="71"/>
      <c r="D4" s="71"/>
      <c r="E4" s="71"/>
      <c r="F4" s="7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119</v>
      </c>
      <c r="C8" s="98"/>
      <c r="D8" s="98"/>
      <c r="E8" s="98"/>
      <c r="F8" s="99"/>
      <c r="G8" s="1"/>
    </row>
    <row r="9" spans="1:7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25" t="s">
        <v>236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5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7" t="s">
        <v>120</v>
      </c>
      <c r="C16" s="98"/>
      <c r="D16" s="98"/>
      <c r="E16" s="98"/>
      <c r="F16" s="99"/>
      <c r="G16" s="1"/>
    </row>
    <row r="17" spans="1:7" x14ac:dyDescent="0.45">
      <c r="A17" s="1"/>
      <c r="B17" s="43" t="s">
        <v>16</v>
      </c>
      <c r="C17" s="43" t="s">
        <v>11</v>
      </c>
      <c r="D17" s="44"/>
      <c r="E17" s="43" t="s">
        <v>34</v>
      </c>
      <c r="F17" s="42"/>
      <c r="G17" s="1"/>
    </row>
    <row r="18" spans="1:7" x14ac:dyDescent="0.45">
      <c r="A18" s="1"/>
      <c r="B18" s="25" t="s">
        <v>236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5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5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7" t="s">
        <v>121</v>
      </c>
      <c r="C24" s="98"/>
      <c r="D24" s="98"/>
      <c r="E24" s="98"/>
      <c r="F24" s="99"/>
      <c r="G24" s="1"/>
    </row>
    <row r="25" spans="1:7" x14ac:dyDescent="0.45">
      <c r="A25" s="1"/>
      <c r="B25" s="43" t="s">
        <v>16</v>
      </c>
      <c r="C25" s="43" t="s">
        <v>11</v>
      </c>
      <c r="D25" s="44"/>
      <c r="E25" s="43" t="s">
        <v>34</v>
      </c>
      <c r="F25" s="42"/>
      <c r="G25" s="1"/>
    </row>
    <row r="26" spans="1:7" x14ac:dyDescent="0.45">
      <c r="A26" s="1"/>
      <c r="B26" s="25" t="s">
        <v>236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5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5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7" t="s">
        <v>176</v>
      </c>
      <c r="C32" s="98"/>
      <c r="D32" s="98"/>
      <c r="E32" s="98"/>
      <c r="F32" s="99"/>
      <c r="G32" s="1"/>
    </row>
    <row r="33" spans="1:7" x14ac:dyDescent="0.45">
      <c r="A33" s="1"/>
      <c r="B33" s="43" t="s">
        <v>16</v>
      </c>
      <c r="C33" s="43" t="s">
        <v>11</v>
      </c>
      <c r="D33" s="44"/>
      <c r="E33" s="43" t="s">
        <v>34</v>
      </c>
      <c r="F33" s="42"/>
      <c r="G33" s="1"/>
    </row>
    <row r="34" spans="1:7" x14ac:dyDescent="0.45">
      <c r="A34" s="1"/>
      <c r="B34" s="25" t="s">
        <v>236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5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5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0hj7FRvDukuClEtDYbgWJA4YqyDAGb7e6du9pZRBDiIAazh8x6BIvkmkh5z/Gdizv4SxNlNrPvdsyaxpKOLigQ==" saltValue="zi5nmvtEaHgU5ZVat+XMs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1" t="s">
        <v>213</v>
      </c>
      <c r="C3" s="81"/>
      <c r="D3" s="81"/>
      <c r="E3" s="81"/>
      <c r="F3" s="81"/>
      <c r="G3" s="1"/>
    </row>
    <row r="4" spans="1:7" ht="25.5" customHeight="1" x14ac:dyDescent="0.45">
      <c r="A4" s="1"/>
      <c r="B4" s="81"/>
      <c r="C4" s="81"/>
      <c r="D4" s="81"/>
      <c r="E4" s="81"/>
      <c r="F4" s="8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156</v>
      </c>
      <c r="C8" s="98"/>
      <c r="D8" s="98"/>
      <c r="E8" s="98"/>
      <c r="F8" s="99"/>
      <c r="G8" s="1"/>
    </row>
    <row r="9" spans="1:7" ht="15" customHeight="1" x14ac:dyDescent="0.45">
      <c r="A9" s="1"/>
      <c r="B9" s="41" t="s">
        <v>157</v>
      </c>
      <c r="C9" s="94" t="s">
        <v>11</v>
      </c>
      <c r="D9" s="96"/>
      <c r="E9" s="94" t="s">
        <v>34</v>
      </c>
      <c r="F9" s="96"/>
      <c r="G9" s="1"/>
    </row>
    <row r="10" spans="1:7" x14ac:dyDescent="0.45">
      <c r="A10" s="1"/>
      <c r="B10" s="25" t="s">
        <v>237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1" t="s">
        <v>212</v>
      </c>
      <c r="C3" s="81"/>
      <c r="D3" s="81"/>
      <c r="E3" s="81"/>
      <c r="F3" s="81"/>
      <c r="G3" s="1"/>
    </row>
    <row r="4" spans="1:7" ht="25.5" customHeight="1" x14ac:dyDescent="0.45">
      <c r="A4" s="1"/>
      <c r="B4" s="81"/>
      <c r="C4" s="81"/>
      <c r="D4" s="81"/>
      <c r="E4" s="81"/>
      <c r="F4" s="8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111</v>
      </c>
      <c r="C8" s="98"/>
      <c r="D8" s="98"/>
      <c r="E8" s="98"/>
      <c r="F8" s="99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34</v>
      </c>
      <c r="F9" s="42"/>
      <c r="G9" s="1"/>
    </row>
    <row r="10" spans="1:7" x14ac:dyDescent="0.4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5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5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7" t="s">
        <v>110</v>
      </c>
      <c r="C15" s="98"/>
      <c r="D15" s="98"/>
      <c r="E15" s="98"/>
      <c r="F15" s="99"/>
      <c r="G15" s="1"/>
    </row>
    <row r="16" spans="1:7" x14ac:dyDescent="0.45">
      <c r="A16" s="1"/>
      <c r="B16" s="41" t="s">
        <v>17</v>
      </c>
      <c r="C16" s="41" t="s">
        <v>11</v>
      </c>
      <c r="D16" s="42"/>
      <c r="E16" s="41" t="s">
        <v>34</v>
      </c>
      <c r="F16" s="42"/>
      <c r="G16" s="1"/>
    </row>
    <row r="17" spans="1:7" x14ac:dyDescent="0.45">
      <c r="A17" s="1"/>
      <c r="B17" s="25" t="s">
        <v>238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5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5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7" t="s">
        <v>112</v>
      </c>
      <c r="C22" s="98"/>
      <c r="D22" s="98"/>
      <c r="E22" s="98"/>
      <c r="F22" s="99"/>
      <c r="G22" s="1"/>
    </row>
    <row r="23" spans="1:7" x14ac:dyDescent="0.45">
      <c r="A23" s="1"/>
      <c r="B23" s="41" t="s">
        <v>17</v>
      </c>
      <c r="C23" s="41" t="s">
        <v>11</v>
      </c>
      <c r="D23" s="42"/>
      <c r="E23" s="41" t="s">
        <v>34</v>
      </c>
      <c r="F23" s="42"/>
      <c r="G23" s="1"/>
    </row>
    <row r="24" spans="1:7" x14ac:dyDescent="0.45">
      <c r="A24" s="1"/>
      <c r="B24" s="25" t="s">
        <v>238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5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5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7" t="s">
        <v>182</v>
      </c>
      <c r="C29" s="98"/>
      <c r="D29" s="98"/>
      <c r="E29" s="98"/>
      <c r="F29" s="99"/>
      <c r="G29" s="1"/>
    </row>
    <row r="30" spans="1:7" x14ac:dyDescent="0.45">
      <c r="A30" s="1"/>
      <c r="B30" s="41" t="s">
        <v>17</v>
      </c>
      <c r="C30" s="41" t="s">
        <v>11</v>
      </c>
      <c r="D30" s="42"/>
      <c r="E30" s="41" t="s">
        <v>34</v>
      </c>
      <c r="F30" s="42"/>
      <c r="G30" s="1"/>
    </row>
    <row r="31" spans="1:7" x14ac:dyDescent="0.45">
      <c r="A31" s="1"/>
      <c r="B31" s="25" t="s">
        <v>238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5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5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1" t="s">
        <v>211</v>
      </c>
      <c r="C3" s="81"/>
      <c r="D3" s="1"/>
    </row>
    <row r="4" spans="1:4" ht="25.5" customHeight="1" x14ac:dyDescent="0.45">
      <c r="A4" s="1"/>
      <c r="B4" s="81"/>
      <c r="C4" s="81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5" t="s">
        <v>14</v>
      </c>
      <c r="C8" s="20"/>
      <c r="D8" s="1"/>
    </row>
    <row r="9" spans="1:4" x14ac:dyDescent="0.45">
      <c r="A9" s="1"/>
      <c r="B9" s="48" t="s">
        <v>141</v>
      </c>
      <c r="C9" s="26">
        <v>1.2699999999999999E-2</v>
      </c>
      <c r="D9" s="1"/>
    </row>
    <row r="10" spans="1:4" x14ac:dyDescent="0.45">
      <c r="A10" s="1"/>
      <c r="B10" s="48" t="s">
        <v>22</v>
      </c>
      <c r="C10" s="26">
        <v>1.7500000000000002E-2</v>
      </c>
      <c r="D10" s="1"/>
    </row>
    <row r="11" spans="1:4" x14ac:dyDescent="0.45">
      <c r="A11" s="1"/>
      <c r="B11" s="48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7"/>
      <c r="C14" s="99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5" t="s">
        <v>126</v>
      </c>
      <c r="C17" s="20"/>
      <c r="D17" s="1"/>
    </row>
    <row r="18" spans="1:4" x14ac:dyDescent="0.45">
      <c r="A18" s="1"/>
      <c r="B18" s="48" t="s">
        <v>143</v>
      </c>
      <c r="C18" s="23">
        <v>9.1000000000000004E-3</v>
      </c>
      <c r="D18" s="1"/>
    </row>
    <row r="19" spans="1:4" x14ac:dyDescent="0.45">
      <c r="A19" s="1"/>
      <c r="B19" s="48" t="s">
        <v>144</v>
      </c>
      <c r="C19" s="23">
        <v>1.77E-2</v>
      </c>
      <c r="D19" s="1"/>
    </row>
    <row r="20" spans="1:4" x14ac:dyDescent="0.45">
      <c r="A20" s="1"/>
      <c r="B20" s="48" t="s">
        <v>145</v>
      </c>
      <c r="C20" s="23">
        <v>8.6999999999999994E-3</v>
      </c>
      <c r="D20" s="1"/>
    </row>
    <row r="21" spans="1:4" x14ac:dyDescent="0.45">
      <c r="A21" s="1"/>
      <c r="B21" s="48" t="s">
        <v>146</v>
      </c>
      <c r="C21" s="36">
        <v>2.8400000000000002E-2</v>
      </c>
      <c r="D21" s="1"/>
    </row>
    <row r="22" spans="1:4" x14ac:dyDescent="0.45">
      <c r="A22" s="1"/>
      <c r="B22" s="48" t="s">
        <v>186</v>
      </c>
      <c r="C22" s="36">
        <v>2.75E-2</v>
      </c>
      <c r="D22" s="1"/>
    </row>
    <row r="23" spans="1:4" x14ac:dyDescent="0.45">
      <c r="A23" s="1"/>
      <c r="B23" s="45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5" t="s">
        <v>127</v>
      </c>
      <c r="C26" s="20"/>
      <c r="D26" s="1"/>
    </row>
    <row r="27" spans="1:4" x14ac:dyDescent="0.45">
      <c r="A27" s="1"/>
      <c r="B27" s="48" t="s">
        <v>147</v>
      </c>
      <c r="C27" s="26">
        <v>0.02</v>
      </c>
      <c r="D27" s="1"/>
    </row>
    <row r="28" spans="1:4" x14ac:dyDescent="0.45">
      <c r="A28" s="1"/>
      <c r="B28" s="45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1" t="s">
        <v>161</v>
      </c>
      <c r="C3" s="71"/>
      <c r="D3" s="71"/>
      <c r="E3" s="1"/>
    </row>
    <row r="4" spans="1:5" ht="15" customHeight="1" x14ac:dyDescent="0.45">
      <c r="A4" s="1"/>
      <c r="B4" s="71"/>
      <c r="C4" s="71"/>
      <c r="D4" s="71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13</v>
      </c>
      <c r="C8" s="46"/>
      <c r="D8" s="20"/>
      <c r="E8" s="1"/>
    </row>
    <row r="9" spans="1:5" x14ac:dyDescent="0.45">
      <c r="A9" s="1"/>
      <c r="B9" s="47" t="s">
        <v>25</v>
      </c>
      <c r="C9" s="7">
        <f>'Fane 3. Omkostninger i ØR2020'!E21</f>
        <v>26010651.989296164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317329.95426941325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-53358.905346124353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-207342.26886475179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-466456.33591579896</v>
      </c>
      <c r="D19" s="8" t="s">
        <v>3</v>
      </c>
      <c r="E19" s="1"/>
    </row>
    <row r="20" spans="1:5" ht="17.100000000000001" customHeight="1" x14ac:dyDescent="0.45">
      <c r="A20" s="1"/>
      <c r="B20" s="49" t="s">
        <v>20</v>
      </c>
      <c r="C20" s="10">
        <f>SUM(C9:C19)</f>
        <v>25600824.433438901</v>
      </c>
      <c r="D20" s="11" t="s">
        <v>3</v>
      </c>
      <c r="E20" s="1"/>
    </row>
    <row r="21" spans="1:5" ht="15" customHeight="1" x14ac:dyDescent="0.45">
      <c r="A21" s="1"/>
      <c r="B21" s="45" t="s">
        <v>12</v>
      </c>
      <c r="C21" s="46"/>
      <c r="D21" s="20"/>
      <c r="E21" s="1"/>
    </row>
    <row r="22" spans="1:5" ht="15" customHeight="1" x14ac:dyDescent="0.45">
      <c r="A22" s="1"/>
      <c r="B22" s="41" t="s">
        <v>12</v>
      </c>
      <c r="C22" s="10">
        <f>'Fane 6. Ikke-påvirkelige omk.'!C13</f>
        <v>21868683.526952639</v>
      </c>
      <c r="D22" s="11" t="s">
        <v>3</v>
      </c>
      <c r="E22" s="1"/>
    </row>
    <row r="23" spans="1:5" ht="15" customHeight="1" x14ac:dyDescent="0.45">
      <c r="A23" s="1"/>
      <c r="B23" s="45" t="s">
        <v>99</v>
      </c>
      <c r="C23" s="46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49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6"/>
      <c r="D27" s="20"/>
      <c r="E27" s="1"/>
    </row>
    <row r="28" spans="1:5" x14ac:dyDescent="0.45">
      <c r="A28" s="1"/>
      <c r="B28" s="50" t="s">
        <v>205</v>
      </c>
      <c r="C28" s="10">
        <f>'Fane 7. Kontrol af ØR2019'!E39</f>
        <v>-131943.01727130637</v>
      </c>
      <c r="D28" s="11" t="s">
        <v>3</v>
      </c>
      <c r="E28" s="1"/>
    </row>
    <row r="29" spans="1:5" x14ac:dyDescent="0.45">
      <c r="A29" s="1"/>
      <c r="B29" s="45" t="s">
        <v>31</v>
      </c>
      <c r="C29" s="32">
        <f>SUM(C20,C22,C26,C28)</f>
        <v>47337564.943120226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1" t="s">
        <v>162</v>
      </c>
      <c r="C3" s="71"/>
      <c r="D3" s="71"/>
      <c r="E3" s="1"/>
    </row>
    <row r="4" spans="1:5" ht="15" customHeight="1" x14ac:dyDescent="0.45">
      <c r="A4" s="1"/>
      <c r="B4" s="71"/>
      <c r="C4" s="71"/>
      <c r="D4" s="71"/>
      <c r="E4" s="1"/>
    </row>
    <row r="5" spans="1:5" x14ac:dyDescent="0.45">
      <c r="A5" s="1"/>
      <c r="B5" s="72"/>
      <c r="C5" s="72"/>
      <c r="D5" s="72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5" t="s">
        <v>13</v>
      </c>
      <c r="C8" s="46"/>
      <c r="D8" s="20"/>
      <c r="E8" s="1"/>
    </row>
    <row r="9" spans="1:5" ht="15" customHeight="1" x14ac:dyDescent="0.45">
      <c r="A9" s="1"/>
      <c r="B9" s="47" t="s">
        <v>26</v>
      </c>
      <c r="C9" s="7">
        <f>'Fane 2.1. Økonomisk ramme 2021'!C20</f>
        <v>25600824.433438901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312330.05808795459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-52518.174795801351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-205674.40765400373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-459163.05787558749</v>
      </c>
      <c r="D15" s="8" t="s">
        <v>3</v>
      </c>
      <c r="E15" s="1"/>
    </row>
    <row r="16" spans="1:5" ht="15" customHeight="1" x14ac:dyDescent="0.45">
      <c r="A16" s="1"/>
      <c r="B16" s="40" t="s">
        <v>20</v>
      </c>
      <c r="C16" s="10">
        <f>SUM(C9:C15)</f>
        <v>25195798.851201463</v>
      </c>
      <c r="D16" s="11" t="s">
        <v>3</v>
      </c>
      <c r="E16" s="1"/>
    </row>
    <row r="17" spans="1:5" x14ac:dyDescent="0.45">
      <c r="A17" s="1"/>
      <c r="B17" s="45" t="s">
        <v>12</v>
      </c>
      <c r="C17" s="46"/>
      <c r="D17" s="20"/>
      <c r="E17" s="1"/>
    </row>
    <row r="18" spans="1:5" ht="15" customHeight="1" x14ac:dyDescent="0.45">
      <c r="A18" s="1"/>
      <c r="B18" s="41" t="s">
        <v>12</v>
      </c>
      <c r="C18" s="10">
        <f>'Fane 6. Ikke-påvirkelige omk.'!C13*(1+'Fane 12. Nøgletal'!C13)</f>
        <v>22135481.465981461</v>
      </c>
      <c r="D18" s="11" t="s">
        <v>3</v>
      </c>
      <c r="E18" s="1"/>
    </row>
    <row r="19" spans="1:5" ht="15" customHeight="1" x14ac:dyDescent="0.45">
      <c r="A19" s="1"/>
      <c r="B19" s="45" t="s">
        <v>99</v>
      </c>
      <c r="C19" s="46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49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6"/>
      <c r="D23" s="20"/>
      <c r="E23" s="1"/>
    </row>
    <row r="24" spans="1:5" ht="15" customHeight="1" x14ac:dyDescent="0.45">
      <c r="A24" s="1"/>
      <c r="B24" s="50" t="s">
        <v>205</v>
      </c>
      <c r="C24" s="10">
        <f>'Fane 7. Kontrol af ØR2019'!E39</f>
        <v>-131943.01727130637</v>
      </c>
      <c r="D24" s="11" t="s">
        <v>3</v>
      </c>
      <c r="E24" s="1"/>
    </row>
    <row r="25" spans="1:5" x14ac:dyDescent="0.45">
      <c r="A25" s="1"/>
      <c r="B25" s="45" t="s">
        <v>32</v>
      </c>
      <c r="C25" s="12">
        <f>SUM(C16,C18,C22,C24)</f>
        <v>47199337.299911618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1" t="s">
        <v>163</v>
      </c>
      <c r="C3" s="71"/>
      <c r="D3" s="71"/>
      <c r="E3" s="1"/>
    </row>
    <row r="4" spans="1:5" ht="15" customHeight="1" x14ac:dyDescent="0.45">
      <c r="A4" s="1"/>
      <c r="B4" s="71"/>
      <c r="C4" s="71"/>
      <c r="D4" s="71"/>
      <c r="E4" s="1"/>
    </row>
    <row r="5" spans="1:5" x14ac:dyDescent="0.45">
      <c r="A5" s="1"/>
      <c r="B5" s="72" t="s">
        <v>21</v>
      </c>
      <c r="C5" s="72"/>
      <c r="D5" s="72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13</v>
      </c>
      <c r="C7" s="46"/>
      <c r="D7" s="20"/>
      <c r="E7" s="1"/>
    </row>
    <row r="8" spans="1:5" ht="15" customHeight="1" x14ac:dyDescent="0.45">
      <c r="A8" s="1"/>
      <c r="B8" s="47" t="s">
        <v>165</v>
      </c>
      <c r="C8" s="7">
        <f>'Fane 2.2. Økonomisk ramme 2022'!C16</f>
        <v>25195798.851201463</v>
      </c>
      <c r="D8" s="8" t="s">
        <v>3</v>
      </c>
      <c r="E8" s="1"/>
    </row>
    <row r="9" spans="1:5" ht="15" customHeight="1" x14ac:dyDescent="0.45">
      <c r="A9" s="1"/>
      <c r="B9" s="47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7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307388.7459846579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-51687.295134873973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-204019.96271883493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-451983.81388417375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24795496.525448244</v>
      </c>
      <c r="D15" s="11" t="s">
        <v>3</v>
      </c>
      <c r="E15" s="1"/>
    </row>
    <row r="16" spans="1:5" x14ac:dyDescent="0.45">
      <c r="A16" s="1"/>
      <c r="B16" s="45" t="s">
        <v>12</v>
      </c>
      <c r="C16" s="46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omk.'!C13*(1+'Fane 12. Nøgletal'!C13)^2</f>
        <v>22405534.339866437</v>
      </c>
      <c r="D17" s="11" t="s">
        <v>3</v>
      </c>
      <c r="E17" s="1"/>
    </row>
    <row r="18" spans="1:5" ht="15" customHeight="1" x14ac:dyDescent="0.45">
      <c r="A18" s="1"/>
      <c r="B18" s="45" t="s">
        <v>99</v>
      </c>
      <c r="C18" s="46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5" t="s">
        <v>109</v>
      </c>
      <c r="C22" s="12">
        <f>SUM(C15,C17,C21)</f>
        <v>47201030.865314677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1" t="s">
        <v>164</v>
      </c>
      <c r="C3" s="71"/>
      <c r="D3" s="71"/>
      <c r="E3" s="1"/>
    </row>
    <row r="4" spans="1:5" ht="15" customHeight="1" x14ac:dyDescent="0.45">
      <c r="A4" s="1"/>
      <c r="B4" s="71"/>
      <c r="C4" s="71"/>
      <c r="D4" s="71"/>
      <c r="E4" s="1"/>
    </row>
    <row r="5" spans="1:5" x14ac:dyDescent="0.45">
      <c r="A5" s="1"/>
      <c r="B5" s="72" t="s">
        <v>21</v>
      </c>
      <c r="C5" s="72"/>
      <c r="D5" s="72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5" t="s">
        <v>13</v>
      </c>
      <c r="C7" s="46"/>
      <c r="D7" s="20"/>
      <c r="E7" s="1"/>
    </row>
    <row r="8" spans="1:5" ht="15" customHeight="1" x14ac:dyDescent="0.45">
      <c r="A8" s="1"/>
      <c r="B8" s="47" t="s">
        <v>166</v>
      </c>
      <c r="C8" s="7">
        <f>'Fane 2.3. Økonomisk ramme 2023'!C15</f>
        <v>24795496.525448244</v>
      </c>
      <c r="D8" s="8" t="s">
        <v>3</v>
      </c>
      <c r="E8" s="1"/>
    </row>
    <row r="9" spans="1:5" ht="15" customHeight="1" x14ac:dyDescent="0.45">
      <c r="A9" s="1"/>
      <c r="B9" s="47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7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302505.05761046859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-50866.104881031453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-202378.8261387246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-444916.82096218772</v>
      </c>
      <c r="D14" s="8" t="s">
        <v>3</v>
      </c>
      <c r="E14" s="1"/>
    </row>
    <row r="15" spans="1:5" x14ac:dyDescent="0.45">
      <c r="A15" s="1"/>
      <c r="B15" s="40" t="s">
        <v>20</v>
      </c>
      <c r="C15" s="10">
        <f>SUM(C8:C14)</f>
        <v>24399839.831076767</v>
      </c>
      <c r="D15" s="11" t="s">
        <v>3</v>
      </c>
      <c r="E15" s="1"/>
    </row>
    <row r="16" spans="1:5" x14ac:dyDescent="0.45">
      <c r="A16" s="1"/>
      <c r="B16" s="45" t="s">
        <v>12</v>
      </c>
      <c r="C16" s="46"/>
      <c r="D16" s="20"/>
      <c r="E16" s="1"/>
    </row>
    <row r="17" spans="1:5" ht="15" customHeight="1" x14ac:dyDescent="0.45">
      <c r="A17" s="1"/>
      <c r="B17" s="41" t="s">
        <v>12</v>
      </c>
      <c r="C17" s="10">
        <f>'Fane 6. Ikke-påvirkelige omk.'!C13*(1+'Fane 12. Nøgletal'!C13)^3</f>
        <v>22678881.858812805</v>
      </c>
      <c r="D17" s="11" t="s">
        <v>3</v>
      </c>
      <c r="E17" s="1"/>
    </row>
    <row r="18" spans="1:5" ht="15" customHeight="1" x14ac:dyDescent="0.45">
      <c r="A18" s="1"/>
      <c r="B18" s="45" t="s">
        <v>99</v>
      </c>
      <c r="C18" s="46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5" t="s">
        <v>239</v>
      </c>
      <c r="C22" s="12">
        <f>SUM(C15,C17,C21)</f>
        <v>47078721.689889573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6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1" t="s">
        <v>180</v>
      </c>
      <c r="C3" s="81"/>
      <c r="D3" s="81"/>
      <c r="E3" s="81"/>
      <c r="F3" s="81"/>
      <c r="G3" s="1"/>
    </row>
    <row r="4" spans="1:7" ht="29.25" customHeight="1" x14ac:dyDescent="0.45">
      <c r="A4" s="1"/>
      <c r="B4" s="81"/>
      <c r="C4" s="81"/>
      <c r="D4" s="81"/>
      <c r="E4" s="81"/>
      <c r="F4" s="8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5" t="s">
        <v>167</v>
      </c>
      <c r="C8" s="46"/>
      <c r="D8" s="46"/>
      <c r="E8" s="46"/>
      <c r="F8" s="20"/>
      <c r="G8" s="1"/>
    </row>
    <row r="9" spans="1:7" x14ac:dyDescent="0.45">
      <c r="A9" s="1"/>
      <c r="B9" s="82" t="s">
        <v>23</v>
      </c>
      <c r="C9" s="83"/>
      <c r="D9" s="84"/>
      <c r="E9" s="7">
        <v>26013721.870442968</v>
      </c>
      <c r="F9" s="8" t="s">
        <v>3</v>
      </c>
      <c r="G9" s="1"/>
    </row>
    <row r="10" spans="1:7" ht="15" customHeight="1" x14ac:dyDescent="0.45">
      <c r="A10" s="1"/>
      <c r="B10" s="85" t="s">
        <v>243</v>
      </c>
      <c r="C10" s="86"/>
      <c r="D10" s="87"/>
      <c r="E10" s="7">
        <v>1536</v>
      </c>
      <c r="F10" s="8" t="s">
        <v>3</v>
      </c>
      <c r="G10" s="1"/>
    </row>
    <row r="11" spans="1:7" ht="15" customHeight="1" x14ac:dyDescent="0.45">
      <c r="A11" s="1"/>
      <c r="B11" s="73" t="s">
        <v>45</v>
      </c>
      <c r="C11" s="74"/>
      <c r="D11" s="75"/>
      <c r="E11" s="7">
        <v>0</v>
      </c>
      <c r="F11" s="8" t="s">
        <v>3</v>
      </c>
      <c r="G11" s="1"/>
    </row>
    <row r="12" spans="1:7" ht="15" customHeight="1" x14ac:dyDescent="0.45">
      <c r="A12" s="1"/>
      <c r="B12" s="73" t="s">
        <v>46</v>
      </c>
      <c r="C12" s="74"/>
      <c r="D12" s="75"/>
      <c r="E12" s="9">
        <v>0</v>
      </c>
      <c r="F12" s="8" t="s">
        <v>3</v>
      </c>
      <c r="G12" s="1"/>
    </row>
    <row r="13" spans="1:7" x14ac:dyDescent="0.45">
      <c r="A13" s="1"/>
      <c r="B13" s="73" t="s">
        <v>30</v>
      </c>
      <c r="C13" s="74"/>
      <c r="D13" s="75"/>
      <c r="E13" s="9">
        <v>0</v>
      </c>
      <c r="F13" s="8" t="s">
        <v>3</v>
      </c>
      <c r="G13" s="1"/>
    </row>
    <row r="14" spans="1:7" x14ac:dyDescent="0.45">
      <c r="A14" s="1"/>
      <c r="B14" s="73" t="s">
        <v>29</v>
      </c>
      <c r="C14" s="74"/>
      <c r="D14" s="75"/>
      <c r="E14" s="9">
        <v>0</v>
      </c>
      <c r="F14" s="8" t="s">
        <v>3</v>
      </c>
      <c r="G14" s="1"/>
    </row>
    <row r="15" spans="1:7" x14ac:dyDescent="0.45">
      <c r="A15" s="1"/>
      <c r="B15" s="73" t="s">
        <v>159</v>
      </c>
      <c r="C15" s="74"/>
      <c r="D15" s="75"/>
      <c r="E15" s="9">
        <v>0</v>
      </c>
      <c r="F15" s="8" t="s">
        <v>3</v>
      </c>
      <c r="G15" s="1"/>
    </row>
    <row r="16" spans="1:7" x14ac:dyDescent="0.45">
      <c r="A16" s="1"/>
      <c r="B16" s="73" t="s">
        <v>160</v>
      </c>
      <c r="C16" s="74"/>
      <c r="D16" s="75"/>
      <c r="E16" s="9">
        <v>0</v>
      </c>
      <c r="F16" s="8" t="s">
        <v>3</v>
      </c>
      <c r="G16" s="1"/>
    </row>
    <row r="17" spans="1:7" x14ac:dyDescent="0.45">
      <c r="A17" s="1"/>
      <c r="B17" s="73" t="s">
        <v>18</v>
      </c>
      <c r="C17" s="74"/>
      <c r="D17" s="75"/>
      <c r="E17" s="9">
        <f>SUM(E9:E10)*'Fane 12. Nøgletal'!C11+SUM(E11:E16)*'Fane 12. Nøgletal'!C12</f>
        <v>439657.85801048612</v>
      </c>
      <c r="F17" s="8" t="s">
        <v>3</v>
      </c>
      <c r="G17" s="1"/>
    </row>
    <row r="18" spans="1:7" x14ac:dyDescent="0.45">
      <c r="A18" s="1"/>
      <c r="B18" s="73" t="s">
        <v>9</v>
      </c>
      <c r="C18" s="74"/>
      <c r="D18" s="75"/>
      <c r="E18" s="9">
        <f>-SUM(E9:E17)*'Fane 5. Individuelt eff. krav'!G9</f>
        <v>-88169.398691432609</v>
      </c>
      <c r="F18" s="8" t="s">
        <v>3</v>
      </c>
      <c r="G18" s="1"/>
    </row>
    <row r="19" spans="1:7" x14ac:dyDescent="0.45">
      <c r="A19" s="1"/>
      <c r="B19" s="73" t="s">
        <v>27</v>
      </c>
      <c r="C19" s="74"/>
      <c r="D19" s="75"/>
      <c r="E19" s="9">
        <f>-'Fane 4.1. Gen. krav - drift'!G25</f>
        <v>-209023.65514675225</v>
      </c>
      <c r="F19" s="8" t="s">
        <v>3</v>
      </c>
      <c r="G19" s="1"/>
    </row>
    <row r="20" spans="1:7" x14ac:dyDescent="0.45">
      <c r="A20" s="1"/>
      <c r="B20" s="73" t="s">
        <v>28</v>
      </c>
      <c r="C20" s="74"/>
      <c r="D20" s="75"/>
      <c r="E20" s="9">
        <f>-'Fane 4.2. Gen. krav - anlæg'!G25</f>
        <v>-147070.68531910292</v>
      </c>
      <c r="F20" s="8" t="s">
        <v>3</v>
      </c>
      <c r="G20" s="1"/>
    </row>
    <row r="21" spans="1:7" x14ac:dyDescent="0.45">
      <c r="A21" s="1"/>
      <c r="B21" s="91" t="s">
        <v>20</v>
      </c>
      <c r="C21" s="92"/>
      <c r="D21" s="93"/>
      <c r="E21" s="10">
        <f>SUM(E9:E20)</f>
        <v>26010651.989296164</v>
      </c>
      <c r="F21" s="11" t="s">
        <v>3</v>
      </c>
      <c r="G21" s="1"/>
    </row>
    <row r="22" spans="1:7" x14ac:dyDescent="0.45">
      <c r="A22" s="1"/>
      <c r="B22" s="76" t="s">
        <v>12</v>
      </c>
      <c r="C22" s="77"/>
      <c r="D22" s="77"/>
      <c r="E22" s="46"/>
      <c r="F22" s="20"/>
      <c r="G22" s="1"/>
    </row>
    <row r="23" spans="1:7" x14ac:dyDescent="0.45">
      <c r="A23" s="1"/>
      <c r="B23" s="78" t="s">
        <v>12</v>
      </c>
      <c r="C23" s="79"/>
      <c r="D23" s="80"/>
      <c r="E23" s="10">
        <v>20878194.120199021</v>
      </c>
      <c r="F23" s="11" t="s">
        <v>3</v>
      </c>
      <c r="G23" s="1"/>
    </row>
    <row r="24" spans="1:7" ht="15" customHeight="1" x14ac:dyDescent="0.45">
      <c r="A24" s="1"/>
      <c r="B24" s="76" t="s">
        <v>99</v>
      </c>
      <c r="C24" s="77"/>
      <c r="D24" s="77"/>
      <c r="E24" s="46"/>
      <c r="F24" s="46"/>
      <c r="G24" s="1"/>
    </row>
    <row r="25" spans="1:7" ht="14.25" customHeight="1" x14ac:dyDescent="0.45">
      <c r="A25" s="1"/>
      <c r="B25" s="88" t="s">
        <v>95</v>
      </c>
      <c r="C25" s="89"/>
      <c r="D25" s="90"/>
      <c r="E25" s="9">
        <v>0</v>
      </c>
      <c r="F25" s="8" t="s">
        <v>3</v>
      </c>
      <c r="G25" s="1"/>
    </row>
    <row r="26" spans="1:7" ht="14.25" customHeight="1" x14ac:dyDescent="0.45">
      <c r="A26" s="1"/>
      <c r="B26" s="88" t="s">
        <v>96</v>
      </c>
      <c r="C26" s="89"/>
      <c r="D26" s="90"/>
      <c r="E26" s="9">
        <v>0</v>
      </c>
      <c r="F26" s="8" t="s">
        <v>3</v>
      </c>
      <c r="G26" s="1"/>
    </row>
    <row r="27" spans="1:7" x14ac:dyDescent="0.45">
      <c r="A27" s="1"/>
      <c r="B27" s="94" t="s">
        <v>100</v>
      </c>
      <c r="C27" s="95"/>
      <c r="D27" s="95"/>
      <c r="E27" s="10">
        <v>0</v>
      </c>
      <c r="F27" s="11" t="s">
        <v>3</v>
      </c>
      <c r="G27" s="1"/>
    </row>
    <row r="28" spans="1:7" ht="14.25" customHeight="1" x14ac:dyDescent="0.45">
      <c r="A28" s="1"/>
      <c r="B28" s="45" t="s">
        <v>228</v>
      </c>
      <c r="C28" s="46"/>
      <c r="D28" s="46"/>
      <c r="E28" s="46"/>
      <c r="F28" s="46"/>
      <c r="G28" s="1"/>
    </row>
    <row r="29" spans="1:7" ht="13.15" customHeight="1" x14ac:dyDescent="0.45">
      <c r="A29" s="1"/>
      <c r="B29" s="94" t="s">
        <v>229</v>
      </c>
      <c r="C29" s="95"/>
      <c r="D29" s="96"/>
      <c r="E29" s="10">
        <v>-385070</v>
      </c>
      <c r="F29" s="11" t="s">
        <v>3</v>
      </c>
      <c r="G29" s="1"/>
    </row>
    <row r="30" spans="1:7" x14ac:dyDescent="0.45">
      <c r="A30" s="1"/>
      <c r="B30" s="45" t="s">
        <v>230</v>
      </c>
      <c r="C30" s="46"/>
      <c r="D30" s="46"/>
      <c r="E30" s="46"/>
      <c r="F30" s="20"/>
      <c r="G30" s="1"/>
    </row>
    <row r="31" spans="1:7" ht="15" customHeight="1" x14ac:dyDescent="0.45">
      <c r="A31" s="1"/>
      <c r="B31" s="94" t="s">
        <v>231</v>
      </c>
      <c r="C31" s="95"/>
      <c r="D31" s="96"/>
      <c r="E31" s="10">
        <v>3846475.4648973807</v>
      </c>
      <c r="F31" s="11" t="s">
        <v>3</v>
      </c>
      <c r="G31" s="1"/>
    </row>
    <row r="32" spans="1:7" x14ac:dyDescent="0.45">
      <c r="A32" s="1"/>
      <c r="B32" s="45" t="s">
        <v>232</v>
      </c>
      <c r="C32" s="46"/>
      <c r="D32" s="46"/>
      <c r="E32" s="46"/>
      <c r="F32" s="20"/>
      <c r="G32" s="1"/>
    </row>
    <row r="33" spans="1:7" x14ac:dyDescent="0.45">
      <c r="A33" s="1"/>
      <c r="B33" s="78" t="s">
        <v>233</v>
      </c>
      <c r="C33" s="79"/>
      <c r="D33" s="80"/>
      <c r="E33" s="10">
        <v>0</v>
      </c>
      <c r="F33" s="11" t="s">
        <v>3</v>
      </c>
      <c r="G33" s="1"/>
    </row>
    <row r="34" spans="1:7" x14ac:dyDescent="0.45">
      <c r="A34" s="1"/>
      <c r="B34" s="45" t="s">
        <v>244</v>
      </c>
      <c r="C34" s="46"/>
      <c r="D34" s="46"/>
      <c r="E34" s="46"/>
      <c r="F34" s="20"/>
      <c r="G34" s="1"/>
    </row>
    <row r="35" spans="1:7" x14ac:dyDescent="0.45">
      <c r="A35" s="1"/>
      <c r="B35" s="78" t="s">
        <v>245</v>
      </c>
      <c r="C35" s="79"/>
      <c r="D35" s="80"/>
      <c r="E35" s="10">
        <v>1536</v>
      </c>
      <c r="F35" s="11" t="s">
        <v>3</v>
      </c>
      <c r="G35" s="1"/>
    </row>
    <row r="36" spans="1:7" x14ac:dyDescent="0.45">
      <c r="A36" s="1"/>
      <c r="B36" s="45" t="s">
        <v>24</v>
      </c>
      <c r="C36" s="46"/>
      <c r="D36" s="46"/>
      <c r="E36" s="12">
        <f>SUM(E31,E27,E29,E23,E21,E33,E35)</f>
        <v>50351787.574392565</v>
      </c>
      <c r="F36" s="13" t="s">
        <v>3</v>
      </c>
      <c r="G36" s="1"/>
    </row>
    <row r="37" spans="1:7" ht="28.15" customHeight="1" x14ac:dyDescent="0.45">
      <c r="A37" s="1"/>
      <c r="B37" s="88" t="s">
        <v>179</v>
      </c>
      <c r="C37" s="89"/>
      <c r="D37" s="89"/>
      <c r="E37" s="89"/>
      <c r="F37" s="90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ht="14.25" customHeight="1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  <row r="56" spans="1:7" x14ac:dyDescent="0.45">
      <c r="A56" s="1"/>
      <c r="B56" s="1"/>
      <c r="C56" s="1"/>
      <c r="D56" s="1"/>
      <c r="E56" s="1"/>
      <c r="F56" s="1"/>
      <c r="G56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5">
    <mergeCell ref="B37:F37"/>
    <mergeCell ref="B17:D17"/>
    <mergeCell ref="B18:D18"/>
    <mergeCell ref="B19:D19"/>
    <mergeCell ref="B20:D20"/>
    <mergeCell ref="B21:D21"/>
    <mergeCell ref="B33:D33"/>
    <mergeCell ref="B31:D31"/>
    <mergeCell ref="B24:D24"/>
    <mergeCell ref="B25:D25"/>
    <mergeCell ref="B26:D26"/>
    <mergeCell ref="B27:D27"/>
    <mergeCell ref="B29:D29"/>
    <mergeCell ref="B35:D35"/>
    <mergeCell ref="B3:F4"/>
    <mergeCell ref="B9:D9"/>
    <mergeCell ref="B11:D11"/>
    <mergeCell ref="B12:D12"/>
    <mergeCell ref="B13:D13"/>
    <mergeCell ref="B10:D10"/>
    <mergeCell ref="B14:D14"/>
    <mergeCell ref="B15:D15"/>
    <mergeCell ref="B16:D16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1" t="s">
        <v>138</v>
      </c>
      <c r="C1" s="71"/>
      <c r="D1" s="71"/>
      <c r="E1" s="71"/>
      <c r="F1" s="71"/>
      <c r="G1" s="71"/>
      <c r="H1" s="71"/>
      <c r="I1" s="1"/>
    </row>
    <row r="2" spans="1:9" ht="15" customHeight="1" x14ac:dyDescent="0.45">
      <c r="A2" s="1"/>
      <c r="B2" s="71"/>
      <c r="C2" s="71"/>
      <c r="D2" s="71"/>
      <c r="E2" s="71"/>
      <c r="F2" s="71"/>
      <c r="G2" s="71"/>
      <c r="H2" s="71"/>
      <c r="I2" s="1"/>
    </row>
    <row r="3" spans="1:9" ht="15" customHeight="1" x14ac:dyDescent="0.45">
      <c r="A3" s="1"/>
      <c r="B3" s="71"/>
      <c r="C3" s="71"/>
      <c r="D3" s="71"/>
      <c r="E3" s="71"/>
      <c r="F3" s="71"/>
      <c r="G3" s="71"/>
      <c r="H3" s="71"/>
      <c r="I3" s="1"/>
    </row>
    <row r="4" spans="1:9" x14ac:dyDescent="0.45">
      <c r="A4" s="1"/>
      <c r="B4" s="97" t="s">
        <v>64</v>
      </c>
      <c r="C4" s="98"/>
      <c r="D4" s="98"/>
      <c r="E4" s="98"/>
      <c r="F4" s="98"/>
      <c r="G4" s="98"/>
      <c r="H4" s="99"/>
      <c r="I4" s="1"/>
    </row>
    <row r="5" spans="1:9" x14ac:dyDescent="0.45">
      <c r="A5" s="1"/>
      <c r="B5" s="100" t="s">
        <v>53</v>
      </c>
      <c r="C5" s="101"/>
      <c r="D5" s="101"/>
      <c r="E5" s="101"/>
      <c r="F5" s="102"/>
      <c r="G5" s="24">
        <v>10443057.58097716</v>
      </c>
      <c r="H5" s="14" t="s">
        <v>3</v>
      </c>
      <c r="I5" s="1"/>
    </row>
    <row r="6" spans="1:9" x14ac:dyDescent="0.45">
      <c r="A6" s="1"/>
      <c r="B6" s="100" t="s">
        <v>54</v>
      </c>
      <c r="C6" s="101"/>
      <c r="D6" s="101"/>
      <c r="E6" s="101"/>
      <c r="F6" s="102"/>
      <c r="G6" s="24">
        <f>G5*'Fane 12. Nøgletal'!C27</f>
        <v>208861.15161954321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7" t="s">
        <v>65</v>
      </c>
      <c r="C9" s="98"/>
      <c r="D9" s="98"/>
      <c r="E9" s="98"/>
      <c r="F9" s="98"/>
      <c r="G9" s="98"/>
      <c r="H9" s="99"/>
      <c r="I9" s="1"/>
    </row>
    <row r="10" spans="1:9" x14ac:dyDescent="0.45">
      <c r="A10" s="1"/>
      <c r="B10" s="100" t="s">
        <v>55</v>
      </c>
      <c r="C10" s="101"/>
      <c r="D10" s="101"/>
      <c r="E10" s="101"/>
      <c r="F10" s="102"/>
      <c r="G10" s="24">
        <f>(G5-G6)*(1+'Fane 12. Nøgletal'!C9)</f>
        <v>10364170.72401046</v>
      </c>
      <c r="H10" s="14" t="s">
        <v>3</v>
      </c>
      <c r="I10" s="1"/>
    </row>
    <row r="11" spans="1:9" x14ac:dyDescent="0.45">
      <c r="A11" s="1"/>
      <c r="B11" s="103" t="s">
        <v>56</v>
      </c>
      <c r="C11" s="104"/>
      <c r="D11" s="104"/>
      <c r="E11" s="104"/>
      <c r="F11" s="105"/>
      <c r="G11" s="24">
        <v>159246.66615</v>
      </c>
      <c r="H11" s="14" t="s">
        <v>3</v>
      </c>
      <c r="I11" s="1"/>
    </row>
    <row r="12" spans="1:9" x14ac:dyDescent="0.45">
      <c r="A12" s="1"/>
      <c r="B12" s="100" t="s">
        <v>57</v>
      </c>
      <c r="C12" s="101"/>
      <c r="D12" s="101"/>
      <c r="E12" s="101"/>
      <c r="F12" s="102"/>
      <c r="G12" s="24">
        <f>(G10+G11)*'Fane 12. Nøgletal'!C27</f>
        <v>210468.34780320921</v>
      </c>
      <c r="H12" s="14" t="s">
        <v>3</v>
      </c>
      <c r="I12" s="1"/>
    </row>
    <row r="13" spans="1:9" x14ac:dyDescent="0.4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7" t="s">
        <v>66</v>
      </c>
      <c r="C15" s="98"/>
      <c r="D15" s="98"/>
      <c r="E15" s="98"/>
      <c r="F15" s="98"/>
      <c r="G15" s="98"/>
      <c r="H15" s="99"/>
      <c r="I15" s="1"/>
    </row>
    <row r="16" spans="1:9" x14ac:dyDescent="0.45">
      <c r="A16" s="1"/>
      <c r="B16" s="100" t="s">
        <v>58</v>
      </c>
      <c r="C16" s="101"/>
      <c r="D16" s="101"/>
      <c r="E16" s="101"/>
      <c r="F16" s="102"/>
      <c r="G16" s="24">
        <f>(G12/'Fane 12. Nøgletal'!C27-G12)*(1+'Fane 12. Nøgletal'!C11)</f>
        <v>10487237.881173087</v>
      </c>
      <c r="H16" s="14" t="s">
        <v>3</v>
      </c>
      <c r="I16" s="1"/>
    </row>
    <row r="17" spans="1:9" x14ac:dyDescent="0.45">
      <c r="A17" s="1"/>
      <c r="B17" s="100" t="s">
        <v>148</v>
      </c>
      <c r="C17" s="101"/>
      <c r="D17" s="101"/>
      <c r="E17" s="101"/>
      <c r="F17" s="102"/>
      <c r="G17" s="24">
        <v>0</v>
      </c>
      <c r="H17" s="14" t="s">
        <v>3</v>
      </c>
      <c r="I17" s="1"/>
    </row>
    <row r="18" spans="1:9" x14ac:dyDescent="0.45">
      <c r="A18" s="1"/>
      <c r="B18" s="103" t="s">
        <v>59</v>
      </c>
      <c r="C18" s="104"/>
      <c r="D18" s="104"/>
      <c r="E18" s="104"/>
      <c r="F18" s="105"/>
      <c r="G18" s="24">
        <v>0</v>
      </c>
      <c r="H18" s="14" t="s">
        <v>3</v>
      </c>
      <c r="I18" s="1"/>
    </row>
    <row r="19" spans="1:9" x14ac:dyDescent="0.45">
      <c r="A19" s="1"/>
      <c r="B19" s="100" t="s">
        <v>60</v>
      </c>
      <c r="C19" s="101"/>
      <c r="D19" s="101"/>
      <c r="E19" s="101"/>
      <c r="F19" s="102"/>
      <c r="G19" s="24">
        <f>SUM(G16:G18)*'Fane 12. Nøgletal'!C27</f>
        <v>209744.75762346174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7" t="s">
        <v>67</v>
      </c>
      <c r="C22" s="98"/>
      <c r="D22" s="98"/>
      <c r="E22" s="98"/>
      <c r="F22" s="98"/>
      <c r="G22" s="98"/>
      <c r="H22" s="99"/>
      <c r="I22" s="1"/>
    </row>
    <row r="23" spans="1:9" x14ac:dyDescent="0.45">
      <c r="A23" s="1"/>
      <c r="B23" s="100" t="s">
        <v>61</v>
      </c>
      <c r="C23" s="101"/>
      <c r="D23" s="101"/>
      <c r="E23" s="101"/>
      <c r="F23" s="102"/>
      <c r="G23" s="24">
        <f>(SUM(G16:G18)-G19)*(1+'Fane 12. Nøgletal'!C11)</f>
        <v>10451182.757337613</v>
      </c>
      <c r="H23" s="14" t="s">
        <v>3</v>
      </c>
      <c r="I23" s="1"/>
    </row>
    <row r="24" spans="1:9" x14ac:dyDescent="0.45">
      <c r="A24" s="1"/>
      <c r="B24" s="103" t="s">
        <v>62</v>
      </c>
      <c r="C24" s="104"/>
      <c r="D24" s="104"/>
      <c r="E24" s="104"/>
      <c r="F24" s="105"/>
      <c r="G24" s="24">
        <v>0</v>
      </c>
      <c r="H24" s="14" t="s">
        <v>3</v>
      </c>
      <c r="I24" s="1"/>
    </row>
    <row r="25" spans="1:9" x14ac:dyDescent="0.45">
      <c r="A25" s="1"/>
      <c r="B25" s="100" t="s">
        <v>63</v>
      </c>
      <c r="C25" s="101"/>
      <c r="D25" s="101"/>
      <c r="E25" s="101"/>
      <c r="F25" s="102"/>
      <c r="G25" s="24">
        <f>(G23+G24)*'Fane 12. Nøgletal'!C27</f>
        <v>209023.65514675225</v>
      </c>
      <c r="H25" s="14" t="s">
        <v>3</v>
      </c>
      <c r="I25" s="1"/>
    </row>
    <row r="26" spans="1:9" x14ac:dyDescent="0.4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7" t="s">
        <v>222</v>
      </c>
      <c r="C28" s="98"/>
      <c r="D28" s="98"/>
      <c r="E28" s="98"/>
      <c r="F28" s="98"/>
      <c r="G28" s="98"/>
      <c r="H28" s="99"/>
      <c r="I28" s="1"/>
    </row>
    <row r="29" spans="1:9" x14ac:dyDescent="0.45">
      <c r="A29" s="1"/>
      <c r="B29" s="100" t="s">
        <v>70</v>
      </c>
      <c r="C29" s="101"/>
      <c r="D29" s="101"/>
      <c r="E29" s="101"/>
      <c r="F29" s="102"/>
      <c r="G29" s="24">
        <f>(G23+G24-G25)*(1+'Fane 12. Nøgletal'!C13)</f>
        <v>10367113.44323759</v>
      </c>
      <c r="H29" s="14" t="s">
        <v>3</v>
      </c>
      <c r="I29" s="1"/>
    </row>
    <row r="30" spans="1:9" x14ac:dyDescent="0.45">
      <c r="A30" s="1"/>
      <c r="B30" s="100" t="s">
        <v>187</v>
      </c>
      <c r="C30" s="101"/>
      <c r="D30" s="101"/>
      <c r="E30" s="101"/>
      <c r="F30" s="102"/>
      <c r="G30" s="24">
        <f>SUM('Fane 2.1. Økonomisk ramme 2021'!C10,'Fane 2.1. Økonomisk ramme 2021'!C12,'Fane 2.1. Økonomisk ramme 2021'!C14)*(1+'Fane 12. Nøgletal'!C13)</f>
        <v>0</v>
      </c>
      <c r="H30" s="14" t="s">
        <v>3</v>
      </c>
      <c r="I30" s="1"/>
    </row>
    <row r="31" spans="1:9" x14ac:dyDescent="0.45">
      <c r="A31" s="1"/>
      <c r="B31" s="100" t="s">
        <v>199</v>
      </c>
      <c r="C31" s="101"/>
      <c r="D31" s="101"/>
      <c r="E31" s="101"/>
      <c r="F31" s="102"/>
      <c r="G31" s="24">
        <f>(G29+G30)*'Fane 12. Nøgletal'!C27</f>
        <v>207342.26886475179</v>
      </c>
      <c r="H31" s="14" t="s">
        <v>3</v>
      </c>
      <c r="I31" s="1"/>
    </row>
    <row r="32" spans="1:9" x14ac:dyDescent="0.4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7" t="s">
        <v>223</v>
      </c>
      <c r="C34" s="98"/>
      <c r="D34" s="98"/>
      <c r="E34" s="98"/>
      <c r="F34" s="98"/>
      <c r="G34" s="98"/>
      <c r="H34" s="99"/>
      <c r="I34" s="1"/>
    </row>
    <row r="35" spans="1:9" x14ac:dyDescent="0.45">
      <c r="A35" s="1"/>
      <c r="B35" s="100" t="s">
        <v>90</v>
      </c>
      <c r="C35" s="101"/>
      <c r="D35" s="101"/>
      <c r="E35" s="101"/>
      <c r="F35" s="102"/>
      <c r="G35" s="24">
        <f>(G29+G30-G31)*(1+'Fane 12. Nøgletal'!C13)</f>
        <v>10283720.382700186</v>
      </c>
      <c r="H35" s="14" t="s">
        <v>3</v>
      </c>
      <c r="I35" s="1"/>
    </row>
    <row r="36" spans="1:9" x14ac:dyDescent="0.45">
      <c r="A36" s="1"/>
      <c r="B36" s="100" t="s">
        <v>102</v>
      </c>
      <c r="C36" s="101"/>
      <c r="D36" s="101"/>
      <c r="E36" s="101"/>
      <c r="F36" s="102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100" t="s">
        <v>224</v>
      </c>
      <c r="C37" s="101"/>
      <c r="D37" s="101"/>
      <c r="E37" s="101"/>
      <c r="F37" s="102"/>
      <c r="G37" s="24">
        <f>(G35+G36)*'Fane 12. Nøgletal'!C27</f>
        <v>205674.40765400373</v>
      </c>
      <c r="H37" s="14" t="s">
        <v>3</v>
      </c>
      <c r="I37" s="1"/>
    </row>
    <row r="38" spans="1:9" x14ac:dyDescent="0.4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7" t="s">
        <v>91</v>
      </c>
      <c r="C40" s="98"/>
      <c r="D40" s="98"/>
      <c r="E40" s="98"/>
      <c r="F40" s="98"/>
      <c r="G40" s="98"/>
      <c r="H40" s="99"/>
      <c r="I40" s="1"/>
    </row>
    <row r="41" spans="1:9" x14ac:dyDescent="0.45">
      <c r="A41" s="1"/>
      <c r="B41" s="100" t="s">
        <v>89</v>
      </c>
      <c r="C41" s="101"/>
      <c r="D41" s="101"/>
      <c r="E41" s="101"/>
      <c r="F41" s="102"/>
      <c r="G41" s="24">
        <f>(G35+G36-G37)*(1+'Fane 12. Nøgletal'!C13)</f>
        <v>10200998.135941746</v>
      </c>
      <c r="H41" s="14" t="s">
        <v>3</v>
      </c>
      <c r="I41" s="1"/>
    </row>
    <row r="42" spans="1:9" x14ac:dyDescent="0.45">
      <c r="A42" s="1"/>
      <c r="B42" s="100" t="s">
        <v>103</v>
      </c>
      <c r="C42" s="101"/>
      <c r="D42" s="101"/>
      <c r="E42" s="101"/>
      <c r="F42" s="102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100" t="s">
        <v>71</v>
      </c>
      <c r="C43" s="101"/>
      <c r="D43" s="101"/>
      <c r="E43" s="101"/>
      <c r="F43" s="102"/>
      <c r="G43" s="24">
        <f>(G41+G42)*'Fane 12. Nøgletal'!C27</f>
        <v>204019.96271883493</v>
      </c>
      <c r="H43" s="14" t="s">
        <v>3</v>
      </c>
      <c r="I43" s="1"/>
    </row>
    <row r="44" spans="1:9" x14ac:dyDescent="0.4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7" t="s">
        <v>188</v>
      </c>
      <c r="C46" s="98"/>
      <c r="D46" s="98"/>
      <c r="E46" s="98"/>
      <c r="F46" s="98"/>
      <c r="G46" s="98"/>
      <c r="H46" s="99"/>
      <c r="I46" s="1"/>
    </row>
    <row r="47" spans="1:9" x14ac:dyDescent="0.45">
      <c r="A47" s="1"/>
      <c r="B47" s="100" t="s">
        <v>189</v>
      </c>
      <c r="C47" s="101"/>
      <c r="D47" s="101"/>
      <c r="E47" s="101"/>
      <c r="F47" s="102"/>
      <c r="G47" s="24">
        <f>(G41+G42-G43)*(1+'Fane 12. Nøgletal'!C13)</f>
        <v>10118941.306936231</v>
      </c>
      <c r="H47" s="14" t="s">
        <v>3</v>
      </c>
      <c r="I47" s="1"/>
    </row>
    <row r="48" spans="1:9" x14ac:dyDescent="0.45">
      <c r="A48" s="1"/>
      <c r="B48" s="100" t="s">
        <v>190</v>
      </c>
      <c r="C48" s="101"/>
      <c r="D48" s="101"/>
      <c r="E48" s="101"/>
      <c r="F48" s="102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100" t="s">
        <v>191</v>
      </c>
      <c r="C49" s="101"/>
      <c r="D49" s="101"/>
      <c r="E49" s="101"/>
      <c r="F49" s="102"/>
      <c r="G49" s="24">
        <f>(G47+G48)*'Fane 12. Nøgletal'!C27</f>
        <v>202378.8261387246</v>
      </c>
      <c r="H49" s="14" t="s">
        <v>3</v>
      </c>
      <c r="I49" s="1"/>
    </row>
    <row r="50" spans="1:9" x14ac:dyDescent="0.4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6" t="s">
        <v>139</v>
      </c>
      <c r="C2" s="106"/>
      <c r="D2" s="106"/>
      <c r="E2" s="106"/>
      <c r="F2" s="106"/>
      <c r="G2" s="106"/>
      <c r="H2" s="106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7" t="s">
        <v>68</v>
      </c>
      <c r="C4" s="98"/>
      <c r="D4" s="98"/>
      <c r="E4" s="98"/>
      <c r="F4" s="98"/>
      <c r="G4" s="98"/>
      <c r="H4" s="99"/>
      <c r="I4" s="1"/>
    </row>
    <row r="5" spans="1:9" x14ac:dyDescent="0.45">
      <c r="A5" s="1"/>
      <c r="B5" s="100" t="s">
        <v>72</v>
      </c>
      <c r="C5" s="101"/>
      <c r="D5" s="101"/>
      <c r="E5" s="101"/>
      <c r="F5" s="102"/>
      <c r="G5" s="24">
        <v>16279713.022333013</v>
      </c>
      <c r="H5" s="14" t="s">
        <v>3</v>
      </c>
      <c r="I5" s="1"/>
    </row>
    <row r="6" spans="1:9" x14ac:dyDescent="0.45">
      <c r="A6" s="1"/>
      <c r="B6" s="100" t="s">
        <v>69</v>
      </c>
      <c r="C6" s="101"/>
      <c r="D6" s="101"/>
      <c r="E6" s="101"/>
      <c r="F6" s="102"/>
      <c r="G6" s="24">
        <f>G5*'Fane 12. Nøgletal'!C18</f>
        <v>148145.38850323044</v>
      </c>
      <c r="H6" s="14" t="s">
        <v>3</v>
      </c>
      <c r="I6" s="1"/>
    </row>
    <row r="7" spans="1:9" x14ac:dyDescent="0.45">
      <c r="A7" s="1"/>
      <c r="B7" s="45"/>
      <c r="C7" s="46"/>
      <c r="D7" s="46"/>
      <c r="E7" s="46"/>
      <c r="F7" s="46"/>
      <c r="G7" s="46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7" t="s">
        <v>73</v>
      </c>
      <c r="C9" s="98"/>
      <c r="D9" s="98"/>
      <c r="E9" s="98"/>
      <c r="F9" s="98"/>
      <c r="G9" s="98"/>
      <c r="H9" s="99"/>
      <c r="I9" s="1"/>
    </row>
    <row r="10" spans="1:9" x14ac:dyDescent="0.45">
      <c r="A10" s="1"/>
      <c r="B10" s="100" t="s">
        <v>74</v>
      </c>
      <c r="C10" s="101"/>
      <c r="D10" s="101"/>
      <c r="E10" s="101"/>
      <c r="F10" s="102"/>
      <c r="G10" s="24">
        <f>(G5-G6)*(1+'Fane 12. Nøgletal'!C9)</f>
        <v>16336438.54277942</v>
      </c>
      <c r="H10" s="14" t="s">
        <v>3</v>
      </c>
      <c r="I10" s="1"/>
    </row>
    <row r="11" spans="1:9" x14ac:dyDescent="0.45">
      <c r="A11" s="1"/>
      <c r="B11" s="103" t="s">
        <v>75</v>
      </c>
      <c r="C11" s="104"/>
      <c r="D11" s="104"/>
      <c r="E11" s="104"/>
      <c r="F11" s="105"/>
      <c r="G11" s="24">
        <v>183689.21140625002</v>
      </c>
      <c r="H11" s="14" t="s">
        <v>3</v>
      </c>
      <c r="I11" s="1"/>
    </row>
    <row r="12" spans="1:9" x14ac:dyDescent="0.45">
      <c r="A12" s="1"/>
      <c r="B12" s="100" t="s">
        <v>76</v>
      </c>
      <c r="C12" s="101"/>
      <c r="D12" s="101"/>
      <c r="E12" s="101"/>
      <c r="F12" s="102"/>
      <c r="G12" s="24">
        <f>G10*'Fane 12. Nøgletal'!C18+G11*'Fane 12. Nøgletal'!C19</f>
        <v>151912.88978118336</v>
      </c>
      <c r="H12" s="14" t="s">
        <v>3</v>
      </c>
      <c r="I12" s="1"/>
    </row>
    <row r="13" spans="1:9" x14ac:dyDescent="0.45">
      <c r="A13" s="1"/>
      <c r="B13" s="45"/>
      <c r="C13" s="46"/>
      <c r="D13" s="46"/>
      <c r="E13" s="46"/>
      <c r="F13" s="46"/>
      <c r="G13" s="46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7" t="s">
        <v>77</v>
      </c>
      <c r="C15" s="98"/>
      <c r="D15" s="98"/>
      <c r="E15" s="98"/>
      <c r="F15" s="98"/>
      <c r="G15" s="98"/>
      <c r="H15" s="99"/>
      <c r="I15" s="1"/>
    </row>
    <row r="16" spans="1:9" x14ac:dyDescent="0.45">
      <c r="A16" s="1"/>
      <c r="B16" s="100" t="s">
        <v>78</v>
      </c>
      <c r="C16" s="101"/>
      <c r="D16" s="101"/>
      <c r="E16" s="101"/>
      <c r="F16" s="102"/>
      <c r="G16" s="24">
        <f>(G10+G11-G12)*(1+'Fane 12. Nøgletal'!C11)</f>
        <v>16644837.69561292</v>
      </c>
      <c r="H16" s="14" t="s">
        <v>3</v>
      </c>
      <c r="I16" s="1"/>
    </row>
    <row r="17" spans="1:9" x14ac:dyDescent="0.45">
      <c r="A17" s="1"/>
      <c r="B17" s="100" t="s">
        <v>149</v>
      </c>
      <c r="C17" s="101"/>
      <c r="D17" s="101"/>
      <c r="E17" s="101"/>
      <c r="F17" s="102"/>
      <c r="G17" s="24">
        <v>124793.44138983981</v>
      </c>
      <c r="H17" s="14" t="s">
        <v>3</v>
      </c>
      <c r="I17" s="1"/>
    </row>
    <row r="18" spans="1:9" x14ac:dyDescent="0.45">
      <c r="A18" s="1"/>
      <c r="B18" s="103" t="s">
        <v>79</v>
      </c>
      <c r="C18" s="104"/>
      <c r="D18" s="104"/>
      <c r="E18" s="104"/>
      <c r="F18" s="105"/>
      <c r="G18" s="24">
        <v>0</v>
      </c>
      <c r="H18" s="14" t="s">
        <v>3</v>
      </c>
      <c r="I18" s="1"/>
    </row>
    <row r="19" spans="1:9" x14ac:dyDescent="0.45">
      <c r="A19" s="1"/>
      <c r="B19" s="100" t="s">
        <v>80</v>
      </c>
      <c r="C19" s="101"/>
      <c r="D19" s="101"/>
      <c r="E19" s="101"/>
      <c r="F19" s="102"/>
      <c r="G19" s="24">
        <f>SUM(G16:G18)*'Fane 12. Nøgletal'!C20</f>
        <v>145895.790891924</v>
      </c>
      <c r="H19" s="14" t="s">
        <v>3</v>
      </c>
      <c r="I19" s="1"/>
    </row>
    <row r="20" spans="1:9" x14ac:dyDescent="0.45">
      <c r="A20" s="1"/>
      <c r="B20" s="45"/>
      <c r="C20" s="46"/>
      <c r="D20" s="46"/>
      <c r="E20" s="46"/>
      <c r="F20" s="46"/>
      <c r="G20" s="46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7" t="s">
        <v>81</v>
      </c>
      <c r="C22" s="98"/>
      <c r="D22" s="98"/>
      <c r="E22" s="98"/>
      <c r="F22" s="98"/>
      <c r="G22" s="98"/>
      <c r="H22" s="99"/>
      <c r="I22" s="1"/>
    </row>
    <row r="23" spans="1:9" x14ac:dyDescent="0.45">
      <c r="A23" s="1"/>
      <c r="B23" s="100" t="s">
        <v>82</v>
      </c>
      <c r="C23" s="101"/>
      <c r="D23" s="101"/>
      <c r="E23" s="101"/>
      <c r="F23" s="102"/>
      <c r="G23" s="24">
        <f>(SUM(G16:G18)-G19)*(1+'Fane 12. Nøgletal'!C11)</f>
        <v>16904676.473460108</v>
      </c>
      <c r="H23" s="14" t="s">
        <v>3</v>
      </c>
      <c r="I23" s="1"/>
    </row>
    <row r="24" spans="1:9" x14ac:dyDescent="0.45">
      <c r="A24" s="1"/>
      <c r="B24" s="103" t="s">
        <v>83</v>
      </c>
      <c r="C24" s="104"/>
      <c r="D24" s="104"/>
      <c r="E24" s="104"/>
      <c r="F24" s="105"/>
      <c r="G24" s="24">
        <v>0</v>
      </c>
      <c r="H24" s="14" t="s">
        <v>3</v>
      </c>
      <c r="I24" s="1"/>
    </row>
    <row r="25" spans="1:9" x14ac:dyDescent="0.45">
      <c r="A25" s="1"/>
      <c r="B25" s="100" t="s">
        <v>84</v>
      </c>
      <c r="C25" s="101"/>
      <c r="D25" s="101"/>
      <c r="E25" s="101"/>
      <c r="F25" s="102"/>
      <c r="G25" s="24">
        <f>G23*'Fane 12. Nøgletal'!C20+G24*'Fane 12. Nøgletal'!C21</f>
        <v>147070.68531910292</v>
      </c>
      <c r="H25" s="14" t="s">
        <v>3</v>
      </c>
      <c r="I25" s="1"/>
    </row>
    <row r="26" spans="1:9" x14ac:dyDescent="0.45">
      <c r="A26" s="1"/>
      <c r="B26" s="45"/>
      <c r="C26" s="46"/>
      <c r="D26" s="46"/>
      <c r="E26" s="46"/>
      <c r="F26" s="46"/>
      <c r="G26" s="46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7" t="s">
        <v>220</v>
      </c>
      <c r="C28" s="98"/>
      <c r="D28" s="98"/>
      <c r="E28" s="98"/>
      <c r="F28" s="98"/>
      <c r="G28" s="98"/>
      <c r="H28" s="99"/>
      <c r="I28" s="1"/>
    </row>
    <row r="29" spans="1:9" x14ac:dyDescent="0.45">
      <c r="A29" s="1"/>
      <c r="B29" s="100" t="s">
        <v>85</v>
      </c>
      <c r="C29" s="101"/>
      <c r="D29" s="101"/>
      <c r="E29" s="101"/>
      <c r="F29" s="102"/>
      <c r="G29" s="24">
        <f>(G23+G24-G25)*(1+'Fane 12. Nøgletal'!C13)</f>
        <v>16962048.578756325</v>
      </c>
      <c r="H29" s="14" t="s">
        <v>3</v>
      </c>
      <c r="I29" s="1"/>
    </row>
    <row r="30" spans="1:9" x14ac:dyDescent="0.45">
      <c r="A30" s="1"/>
      <c r="B30" s="100" t="s">
        <v>192</v>
      </c>
      <c r="C30" s="101"/>
      <c r="D30" s="101"/>
      <c r="E30" s="101"/>
      <c r="F30" s="102"/>
      <c r="G30" s="24">
        <f>SUM('Fane 2.1. Økonomisk ramme 2021'!C11,'Fane 2.1. Økonomisk ramme 2021'!C13,'Fane 2.1. Økonomisk ramme 2021'!C15)*(1+'Fane 12. Nøgletal'!C13)</f>
        <v>0</v>
      </c>
      <c r="H30" s="14" t="s">
        <v>3</v>
      </c>
      <c r="I30" s="1"/>
    </row>
    <row r="31" spans="1:9" x14ac:dyDescent="0.45">
      <c r="A31" s="1"/>
      <c r="B31" s="100" t="s">
        <v>221</v>
      </c>
      <c r="C31" s="101"/>
      <c r="D31" s="101"/>
      <c r="E31" s="101"/>
      <c r="F31" s="102"/>
      <c r="G31" s="24">
        <f>(G29+G30)*'Fane 12. Nøgletal'!C22</f>
        <v>466456.33591579896</v>
      </c>
      <c r="H31" s="14" t="s">
        <v>3</v>
      </c>
      <c r="I31" s="1"/>
    </row>
    <row r="32" spans="1:9" x14ac:dyDescent="0.45">
      <c r="A32" s="1"/>
      <c r="B32" s="45"/>
      <c r="C32" s="46"/>
      <c r="D32" s="46"/>
      <c r="E32" s="46"/>
      <c r="F32" s="46"/>
      <c r="G32" s="46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7" t="s">
        <v>225</v>
      </c>
      <c r="C34" s="98"/>
      <c r="D34" s="98"/>
      <c r="E34" s="98"/>
      <c r="F34" s="98"/>
      <c r="G34" s="98"/>
      <c r="H34" s="99"/>
      <c r="I34" s="1"/>
    </row>
    <row r="35" spans="1:9" x14ac:dyDescent="0.45">
      <c r="A35" s="1"/>
      <c r="B35" s="100" t="s">
        <v>88</v>
      </c>
      <c r="C35" s="101"/>
      <c r="D35" s="101"/>
      <c r="E35" s="101"/>
      <c r="F35" s="102"/>
      <c r="G35" s="24">
        <f>(G29+G30-G31)*(1+'Fane 12. Nøgletal'!C13)</f>
        <v>16696838.468203181</v>
      </c>
      <c r="H35" s="14" t="s">
        <v>3</v>
      </c>
      <c r="I35" s="1"/>
    </row>
    <row r="36" spans="1:9" x14ac:dyDescent="0.45">
      <c r="A36" s="1"/>
      <c r="B36" s="100" t="s">
        <v>107</v>
      </c>
      <c r="C36" s="101"/>
      <c r="D36" s="101"/>
      <c r="E36" s="101"/>
      <c r="F36" s="102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100" t="s">
        <v>226</v>
      </c>
      <c r="C37" s="101"/>
      <c r="D37" s="101"/>
      <c r="E37" s="101"/>
      <c r="F37" s="102"/>
      <c r="G37" s="24">
        <f>(G35+G36)*'Fane 12. Nøgletal'!C22</f>
        <v>459163.05787558749</v>
      </c>
      <c r="H37" s="14" t="s">
        <v>3</v>
      </c>
      <c r="I37" s="1"/>
    </row>
    <row r="38" spans="1:9" x14ac:dyDescent="0.45">
      <c r="A38" s="1"/>
      <c r="B38" s="45"/>
      <c r="C38" s="46"/>
      <c r="D38" s="46"/>
      <c r="E38" s="46"/>
      <c r="F38" s="46"/>
      <c r="G38" s="46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7" t="s">
        <v>92</v>
      </c>
      <c r="C40" s="98"/>
      <c r="D40" s="98"/>
      <c r="E40" s="98"/>
      <c r="F40" s="98"/>
      <c r="G40" s="98"/>
      <c r="H40" s="99"/>
      <c r="I40" s="1"/>
    </row>
    <row r="41" spans="1:9" x14ac:dyDescent="0.45">
      <c r="A41" s="1"/>
      <c r="B41" s="100" t="s">
        <v>87</v>
      </c>
      <c r="C41" s="101"/>
      <c r="D41" s="101"/>
      <c r="E41" s="101"/>
      <c r="F41" s="102"/>
      <c r="G41" s="24">
        <f>(G35+G36-G37)*(1+'Fane 12. Nøgletal'!C13)</f>
        <v>16435775.050333591</v>
      </c>
      <c r="H41" s="14" t="s">
        <v>3</v>
      </c>
      <c r="I41" s="1"/>
    </row>
    <row r="42" spans="1:9" x14ac:dyDescent="0.45">
      <c r="A42" s="1"/>
      <c r="B42" s="100" t="s">
        <v>108</v>
      </c>
      <c r="C42" s="101"/>
      <c r="D42" s="101"/>
      <c r="E42" s="101"/>
      <c r="F42" s="102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100" t="s">
        <v>86</v>
      </c>
      <c r="C43" s="101"/>
      <c r="D43" s="101"/>
      <c r="E43" s="101"/>
      <c r="F43" s="102"/>
      <c r="G43" s="24">
        <f>(G41+G42)*'Fane 12. Nøgletal'!C22</f>
        <v>451983.81388417375</v>
      </c>
      <c r="H43" s="14" t="s">
        <v>3</v>
      </c>
      <c r="I43" s="1"/>
    </row>
    <row r="44" spans="1:9" x14ac:dyDescent="0.45">
      <c r="A44" s="1"/>
      <c r="B44" s="45"/>
      <c r="C44" s="46"/>
      <c r="D44" s="46"/>
      <c r="E44" s="46"/>
      <c r="F44" s="46"/>
      <c r="G44" s="46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7" t="s">
        <v>193</v>
      </c>
      <c r="C46" s="98"/>
      <c r="D46" s="98"/>
      <c r="E46" s="98"/>
      <c r="F46" s="98"/>
      <c r="G46" s="98"/>
      <c r="H46" s="99"/>
      <c r="I46" s="1"/>
    </row>
    <row r="47" spans="1:9" x14ac:dyDescent="0.45">
      <c r="A47" s="1"/>
      <c r="B47" s="100" t="s">
        <v>194</v>
      </c>
      <c r="C47" s="101"/>
      <c r="D47" s="101"/>
      <c r="E47" s="101"/>
      <c r="F47" s="102"/>
      <c r="G47" s="24">
        <f>(G41+G42-G43)*(1+'Fane 12. Nøgletal'!C13)</f>
        <v>16178793.489534099</v>
      </c>
      <c r="H47" s="14" t="s">
        <v>3</v>
      </c>
      <c r="I47" s="1"/>
    </row>
    <row r="48" spans="1:9" x14ac:dyDescent="0.45">
      <c r="A48" s="1"/>
      <c r="B48" s="100" t="s">
        <v>195</v>
      </c>
      <c r="C48" s="101"/>
      <c r="D48" s="101"/>
      <c r="E48" s="101"/>
      <c r="F48" s="102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100" t="s">
        <v>196</v>
      </c>
      <c r="C49" s="101"/>
      <c r="D49" s="101"/>
      <c r="E49" s="101"/>
      <c r="F49" s="102"/>
      <c r="G49" s="24">
        <f>(G47+G48)*'Fane 12. Nøgletal'!C22</f>
        <v>444916.82096218772</v>
      </c>
      <c r="H49" s="14" t="s">
        <v>3</v>
      </c>
      <c r="I49" s="1"/>
    </row>
    <row r="50" spans="1:9" x14ac:dyDescent="0.45">
      <c r="A50" s="1"/>
      <c r="B50" s="45"/>
      <c r="C50" s="46"/>
      <c r="D50" s="46"/>
      <c r="E50" s="46"/>
      <c r="F50" s="46"/>
      <c r="G50" s="46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1" t="s">
        <v>101</v>
      </c>
      <c r="C3" s="71"/>
      <c r="D3" s="71"/>
      <c r="E3" s="71"/>
      <c r="F3" s="71"/>
      <c r="G3" s="71"/>
      <c r="H3" s="71"/>
      <c r="I3" s="1"/>
    </row>
    <row r="4" spans="1:9" ht="15" customHeight="1" x14ac:dyDescent="0.45">
      <c r="A4" s="1"/>
      <c r="B4" s="71"/>
      <c r="C4" s="71"/>
      <c r="D4" s="71"/>
      <c r="E4" s="71"/>
      <c r="F4" s="71"/>
      <c r="G4" s="71"/>
      <c r="H4" s="7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7" t="s">
        <v>9</v>
      </c>
      <c r="C8" s="98"/>
      <c r="D8" s="98"/>
      <c r="E8" s="98"/>
      <c r="F8" s="98"/>
      <c r="G8" s="98"/>
      <c r="H8" s="99"/>
      <c r="I8" s="1"/>
    </row>
    <row r="9" spans="1:9" x14ac:dyDescent="0.45">
      <c r="A9" s="1"/>
      <c r="B9" s="100" t="s">
        <v>124</v>
      </c>
      <c r="C9" s="101"/>
      <c r="D9" s="101"/>
      <c r="E9" s="101"/>
      <c r="F9" s="102"/>
      <c r="G9" s="23">
        <v>3.3328172199241766E-3</v>
      </c>
      <c r="H9" s="14"/>
      <c r="I9" s="1"/>
    </row>
    <row r="10" spans="1:9" x14ac:dyDescent="0.45">
      <c r="A10" s="1"/>
      <c r="B10" s="100" t="s">
        <v>181</v>
      </c>
      <c r="C10" s="101"/>
      <c r="D10" s="101"/>
      <c r="E10" s="101"/>
      <c r="F10" s="102"/>
      <c r="G10" s="23">
        <v>2.0266994052373618E-3</v>
      </c>
      <c r="H10" s="14"/>
      <c r="I10" s="1"/>
    </row>
    <row r="11" spans="1:9" x14ac:dyDescent="0.45">
      <c r="A11" s="1"/>
      <c r="B11" s="45"/>
      <c r="C11" s="46"/>
      <c r="D11" s="46"/>
      <c r="E11" s="46"/>
      <c r="F11" s="46"/>
      <c r="G11" s="46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7" t="s">
        <v>227</v>
      </c>
      <c r="C13" s="107"/>
      <c r="D13" s="107"/>
      <c r="E13" s="107"/>
      <c r="F13" s="107"/>
      <c r="G13" s="107"/>
      <c r="H13" s="107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2020-10-20T06:10:04Z</dcterms:modified>
</cp:coreProperties>
</file>