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Køge Afløb AS (S059)\ØR2023\"/>
    </mc:Choice>
  </mc:AlternateContent>
  <bookViews>
    <workbookView xWindow="3120" yWindow="990" windowWidth="12750" windowHeight="4620" tabRatio="872" firstSheet="10" activeTab="1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<sst xmlns="http://schemas.openxmlformats.org/spreadsheetml/2006/main" count="607" uniqueCount="289">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</sst>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FF0JD8UxREnBsosuiaAEQRr9t8AwourbzpN7fq1M5Us8MpO5gdFeu2KWahtGeKQFYwBR+cDZWw0QhA+DeKGPrQ==" saltValue="Lm648Cm2NcXwcrXkkzICP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1366221</v>
      </c>
      <c r="D10" s="14" t="s">
        <v>3</v>
      </c>
      <c r="E10" s="1"/>
      <c r="F10" s="1"/>
    </row>
    <row r="11" spans="1:6" x14ac:dyDescent="0.25">
      <c r="A11" s="1"/>
      <c r="B11" s="94" t="s">
        <v>266</v>
      </c>
      <c r="C11" s="9">
        <v>122308</v>
      </c>
      <c r="D11" s="14" t="s">
        <v>3</v>
      </c>
      <c r="E11" s="1"/>
      <c r="F11" s="1"/>
    </row>
    <row r="12" spans="1:6" x14ac:dyDescent="0.25">
      <c r="A12" s="1"/>
      <c r="B12" s="94" t="s">
        <v>267</v>
      </c>
      <c r="C12" s="9">
        <v>49450</v>
      </c>
      <c r="D12" s="14" t="s">
        <v>3</v>
      </c>
      <c r="E12" s="1"/>
      <c r="F12" s="1"/>
    </row>
    <row r="13" spans="1:6" x14ac:dyDescent="0.25">
      <c r="A13" s="1"/>
      <c r="B13" s="94" t="s">
        <v>268</v>
      </c>
      <c r="C13" s="9">
        <v>613185</v>
      </c>
      <c r="D13" s="14" t="s">
        <v>3</v>
      </c>
      <c r="E13" s="1"/>
      <c r="F13" s="1"/>
    </row>
    <row r="14" spans="1:6" x14ac:dyDescent="0.25">
      <c r="A14" s="1"/>
      <c r="B14" s="32" t="s">
        <v>200</v>
      </c>
      <c r="C14" s="12">
        <f>SUM(C10:C13)</f>
        <v>2151164</v>
      </c>
      <c r="D14" s="13" t="s">
        <v>3</v>
      </c>
      <c r="E14" s="1"/>
      <c r="F14" s="1"/>
    </row>
    <row r="15" spans="1:6" x14ac:dyDescent="0.25">
      <c r="A15" s="1"/>
      <c r="B15" s="32" t="s">
        <v>201</v>
      </c>
      <c r="C15" s="12">
        <f>C14*(1+'Fane 15. Nøgletal'!C15)^2</f>
        <v>2307053.1760070403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7" t="s">
        <v>117</v>
      </c>
      <c r="C18" s="128"/>
      <c r="D18" s="129"/>
      <c r="E18" s="1"/>
      <c r="F18" s="1"/>
    </row>
    <row r="19" spans="1:6" x14ac:dyDescent="0.25">
      <c r="A19" s="1"/>
      <c r="B19" s="94" t="s">
        <v>99</v>
      </c>
      <c r="C19" s="9">
        <v>157230</v>
      </c>
      <c r="D19" s="14" t="s">
        <v>3</v>
      </c>
      <c r="E19" s="1"/>
      <c r="F19" s="1"/>
    </row>
    <row r="20" spans="1:6" x14ac:dyDescent="0.25">
      <c r="A20" s="1"/>
      <c r="B20" s="94" t="s">
        <v>129</v>
      </c>
      <c r="C20" s="9">
        <v>157230</v>
      </c>
      <c r="D20" s="14" t="s">
        <v>3</v>
      </c>
      <c r="E20" s="1"/>
      <c r="F20" s="1"/>
    </row>
    <row r="21" spans="1:6" x14ac:dyDescent="0.25">
      <c r="A21" s="1"/>
      <c r="B21" s="94" t="s">
        <v>155</v>
      </c>
      <c r="C21" s="9">
        <v>157230</v>
      </c>
      <c r="D21" s="14" t="s">
        <v>3</v>
      </c>
      <c r="E21" s="1"/>
      <c r="F21" s="1"/>
    </row>
    <row r="22" spans="1:6" x14ac:dyDescent="0.25">
      <c r="A22" s="1"/>
      <c r="B22" s="33" t="s">
        <v>202</v>
      </c>
      <c r="C22" s="9">
        <v>157230</v>
      </c>
      <c r="D22" s="40" t="s">
        <v>3</v>
      </c>
      <c r="E22" s="1"/>
      <c r="F22" s="1"/>
    </row>
    <row r="23" spans="1:6" x14ac:dyDescent="0.25">
      <c r="A23" s="1"/>
      <c r="B23" s="127"/>
      <c r="C23" s="128"/>
      <c r="D23" s="129"/>
      <c r="E23" s="1"/>
      <c r="F23" s="1"/>
    </row>
    <row r="24" spans="1:6" x14ac:dyDescent="0.25">
      <c r="A24" s="1"/>
      <c r="B24" s="1"/>
      <c r="C24" s="1"/>
      <c r="D24" s="1"/>
      <c r="E24" s="1"/>
      <c r="F24" s="1"/>
    </row>
    <row r="25" spans="1:6" x14ac:dyDescent="0.25">
      <c r="A25" s="1"/>
      <c r="B25" s="1"/>
      <c r="C25" s="1"/>
      <c r="D25" s="1"/>
      <c r="E25" s="1"/>
      <c r="F25" s="1"/>
    </row>
    <row r="26" spans="1:6" x14ac:dyDescent="0.25">
      <c r="A26" s="1"/>
      <c r="B26" s="127" t="s">
        <v>98</v>
      </c>
      <c r="C26" s="128"/>
      <c r="D26" s="129"/>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27"/>
      <c r="C31" s="128"/>
      <c r="D31" s="129"/>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88GxsVr6zgQGSdP5YuwuIWYSiBI+p2G4oIKQ0L/3cZetIFTHY4kS1ib19xGpmpZ995tMeWB6xhRgeXWx7izu8g==" saltValue="1n6qebsjxiCCK8gKOE2dz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tabSelected="1" view="pageLayout" topLeftCell="A33" zoomScale="80" zoomScaleNormal="100" zoomScalePageLayoutView="80" workbookViewId="0">
      <selection activeCell="C38" sqref="C38"/>
    </sheetView>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-9171659.7892296463</v>
      </c>
      <c r="F9" s="14" t="s">
        <v>3</v>
      </c>
      <c r="G9" s="1"/>
    </row>
    <row r="10" spans="1:7" x14ac:dyDescent="0.25">
      <c r="A10" s="1"/>
      <c r="B10" s="137" t="s">
        <v>263</v>
      </c>
      <c r="C10" s="138"/>
      <c r="D10" s="139"/>
      <c r="E10" s="9">
        <v>-9171659.7892296463</v>
      </c>
      <c r="F10" s="14" t="s">
        <v>3</v>
      </c>
      <c r="G10" s="1"/>
    </row>
    <row r="11" spans="1:7" x14ac:dyDescent="0.25">
      <c r="A11" s="1"/>
      <c r="B11" s="32"/>
      <c r="C11" s="27"/>
      <c r="D11" s="27"/>
      <c r="E11" s="27"/>
      <c r="F11" s="19"/>
      <c r="G11" s="1"/>
    </row>
    <row r="12" spans="1:7" ht="81" customHeight="1" x14ac:dyDescent="0.25">
      <c r="A12" s="1"/>
      <c r="B12" s="130" t="s">
        <v>287</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282</v>
      </c>
      <c r="C15" s="138"/>
      <c r="D15" s="139"/>
      <c r="E15" s="9">
        <v>-6475112.3946148232</v>
      </c>
      <c r="F15" s="14" t="s">
        <v>3</v>
      </c>
      <c r="G15" s="1"/>
    </row>
    <row r="16" spans="1:7" x14ac:dyDescent="0.25">
      <c r="A16" s="1"/>
      <c r="B16" s="137" t="s">
        <v>283</v>
      </c>
      <c r="C16" s="138"/>
      <c r="D16" s="139"/>
      <c r="E16" s="9">
        <v>-6475112.3946148232</v>
      </c>
      <c r="F16" s="14" t="s">
        <v>3</v>
      </c>
      <c r="G16" s="1"/>
    </row>
    <row r="17" spans="1:7" x14ac:dyDescent="0.25">
      <c r="A17" s="1"/>
      <c r="B17" s="32"/>
      <c r="C17" s="27"/>
      <c r="D17" s="27"/>
      <c r="E17" s="27"/>
      <c r="F17" s="19"/>
      <c r="G17" s="1"/>
    </row>
    <row r="18" spans="1:7" ht="31.5" customHeight="1" x14ac:dyDescent="0.25">
      <c r="A18" s="1"/>
      <c r="B18" s="130" t="s">
        <v>288</v>
      </c>
      <c r="C18" s="131"/>
      <c r="D18" s="131"/>
      <c r="E18" s="131"/>
      <c r="F18" s="132"/>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103292802.30669589</v>
      </c>
      <c r="F21" s="14" t="s">
        <v>3</v>
      </c>
      <c r="G21" s="1"/>
    </row>
    <row r="22" spans="1:7" x14ac:dyDescent="0.25">
      <c r="A22" s="1"/>
      <c r="B22" s="91" t="s">
        <v>207</v>
      </c>
      <c r="C22" s="92"/>
      <c r="D22" s="93"/>
      <c r="E22" s="9">
        <v>110217353</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-6924550.6933041066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284</v>
      </c>
      <c r="C27" s="128"/>
      <c r="D27" s="128"/>
      <c r="E27" s="128"/>
      <c r="F27" s="129"/>
      <c r="G27" s="1"/>
    </row>
    <row r="28" spans="1:7" x14ac:dyDescent="0.25">
      <c r="A28" s="1"/>
      <c r="B28" s="133" t="s">
        <v>285</v>
      </c>
      <c r="C28" s="134"/>
      <c r="D28" s="155"/>
      <c r="E28" s="73">
        <f>IF(AND(E9&gt;0,(E9+E24)&gt;0),0,IF(AND(E9&gt;0,(E9+E24)&lt;0),0,IF(AND(E9&lt;0,E24&gt;0,E10=0),0,IF(AND(E9&lt;0,E24&gt;0,ABS(E10)&lt;ABS(E24)),ABS(E16),IF(AND(E9&lt;0,E24&gt;0,ABS(E10)&gt;ABS(E24),ABS(E16)&gt;ABS(E24)),-(ABS(E16)-ABS(E24)),IF(AND(E9&lt;0,E24&gt;0,ABS(E10)&gt;ABS(E24),ABS(E16)&lt;ABS(E24)),E24-ABS(E16),IF(AND(E9&lt;0,E24&lt;0),E16,0)))))))</f>
        <v>-6475112.3946148232</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6" t="s">
        <v>143</v>
      </c>
      <c r="C32" s="157"/>
      <c r="D32" s="158"/>
      <c r="E32" s="74">
        <f>IF(AND(E9&gt;0,(E9+E24)&gt;0),0,IF(AND(E9&gt;0,(E9+E24)&lt;0),(E9+E24),IF(AND(E9&lt;0,E24&lt;0),E24,0)))</f>
        <v>-6924550.6933041066</v>
      </c>
      <c r="F32" s="14" t="s">
        <v>3</v>
      </c>
      <c r="G32" s="1"/>
    </row>
    <row r="33" spans="1:7" x14ac:dyDescent="0.25">
      <c r="A33" s="1"/>
      <c r="B33" s="156" t="s">
        <v>102</v>
      </c>
      <c r="C33" s="157"/>
      <c r="D33" s="158"/>
      <c r="E33" s="9">
        <v>4</v>
      </c>
      <c r="F33" s="14" t="s">
        <v>20</v>
      </c>
      <c r="G33" s="1"/>
    </row>
    <row r="34" spans="1:7" x14ac:dyDescent="0.25">
      <c r="A34" s="1"/>
      <c r="B34" s="151" t="s">
        <v>144</v>
      </c>
      <c r="C34" s="151"/>
      <c r="D34" s="151"/>
      <c r="E34" s="73">
        <f>E32/E33</f>
        <v>-1731137.6733260266</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Y8EpHMMopNkGtlhnJ1RVxP8gi6S3iUPOfc0RFZ6MrZ1vjLfZldA7JLuMTYwEGxqn331Zm9VtgXOLzOps750dAw==" saltValue="ah/c7YE0STGdEppAT93+pA=="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271</v>
      </c>
      <c r="C10" s="160"/>
      <c r="D10" s="160"/>
      <c r="E10" s="160"/>
      <c r="F10" s="161"/>
      <c r="G10" s="9">
        <v>0</v>
      </c>
      <c r="H10" s="9" t="s">
        <v>3</v>
      </c>
      <c r="I10" s="1"/>
    </row>
    <row r="11" spans="1:9" x14ac:dyDescent="0.25">
      <c r="A11" s="1"/>
      <c r="B11" s="159" t="s">
        <v>272</v>
      </c>
      <c r="C11" s="160"/>
      <c r="D11" s="160"/>
      <c r="E11" s="160"/>
      <c r="F11" s="161"/>
      <c r="G11" s="9">
        <v>0</v>
      </c>
      <c r="H11" s="9" t="s">
        <v>3</v>
      </c>
      <c r="I11" s="1"/>
    </row>
    <row r="12" spans="1:9" x14ac:dyDescent="0.25">
      <c r="A12" s="1"/>
      <c r="B12" s="159" t="s">
        <v>273</v>
      </c>
      <c r="C12" s="160"/>
      <c r="D12" s="160"/>
      <c r="E12" s="160"/>
      <c r="F12" s="161"/>
      <c r="G12" s="9">
        <v>0</v>
      </c>
      <c r="H12" s="9" t="s">
        <v>3</v>
      </c>
      <c r="I12" s="1"/>
    </row>
    <row r="13" spans="1:9" x14ac:dyDescent="0.25">
      <c r="A13" s="1"/>
      <c r="B13" s="159" t="s">
        <v>274</v>
      </c>
      <c r="C13" s="160"/>
      <c r="D13" s="160"/>
      <c r="E13" s="160"/>
      <c r="F13" s="161"/>
      <c r="G13" s="9">
        <v>0</v>
      </c>
      <c r="H13" s="9" t="s">
        <v>3</v>
      </c>
      <c r="I13" s="1"/>
    </row>
    <row r="14" spans="1:9" x14ac:dyDescent="0.25">
      <c r="A14" s="1"/>
      <c r="B14" s="159" t="s">
        <v>275</v>
      </c>
      <c r="C14" s="160"/>
      <c r="D14" s="160"/>
      <c r="E14" s="160"/>
      <c r="F14" s="161"/>
      <c r="G14" s="9">
        <v>0</v>
      </c>
      <c r="H14" s="9" t="s">
        <v>3</v>
      </c>
      <c r="I14" s="1"/>
    </row>
    <row r="15" spans="1:9" x14ac:dyDescent="0.25">
      <c r="A15" s="1"/>
      <c r="B15" s="159" t="s">
        <v>276</v>
      </c>
      <c r="C15" s="160"/>
      <c r="D15" s="160"/>
      <c r="E15" s="160"/>
      <c r="F15" s="161"/>
      <c r="G15" s="9">
        <v>0</v>
      </c>
      <c r="H15" s="9" t="s">
        <v>3</v>
      </c>
      <c r="I15" s="1"/>
    </row>
    <row r="16" spans="1:9" x14ac:dyDescent="0.25">
      <c r="A16" s="1"/>
      <c r="B16" s="159" t="s">
        <v>277</v>
      </c>
      <c r="C16" s="160"/>
      <c r="D16" s="160"/>
      <c r="E16" s="160"/>
      <c r="F16" s="161"/>
      <c r="G16" s="9">
        <v>0</v>
      </c>
      <c r="H16" s="9" t="s">
        <v>3</v>
      </c>
      <c r="I16" s="1"/>
    </row>
    <row r="17" spans="1:9" x14ac:dyDescent="0.25">
      <c r="A17" s="1"/>
      <c r="B17" s="159" t="s">
        <v>278</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pNe2PqHqGJUcPShH6pgTvjZogtPt1C+BO4V3V6xQJc7iKqWxG8ahLHbcZmVe+KWiqfp6zgKjDvYG8ZLi1Jf0fg==" saltValue="hT9A8qTsMIn5YDC523RXc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5"/>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157230</v>
      </c>
      <c r="F14" s="8" t="s">
        <v>3</v>
      </c>
      <c r="G14" s="1"/>
    </row>
    <row r="15" spans="1:7" x14ac:dyDescent="0.25">
      <c r="A15" s="1"/>
      <c r="B15" s="130" t="s">
        <v>211</v>
      </c>
      <c r="C15" s="131"/>
      <c r="D15" s="132"/>
      <c r="E15" s="9">
        <v>110402</v>
      </c>
      <c r="F15" s="8" t="s">
        <v>3</v>
      </c>
      <c r="G15" s="1"/>
    </row>
    <row r="16" spans="1:7" x14ac:dyDescent="0.25">
      <c r="A16" s="1"/>
      <c r="B16" s="133" t="s">
        <v>101</v>
      </c>
      <c r="C16" s="134"/>
      <c r="D16" s="155"/>
      <c r="E16" s="10">
        <f>E15-E14</f>
        <v>-46828</v>
      </c>
      <c r="F16" s="11" t="s">
        <v>3</v>
      </c>
      <c r="G16" s="1"/>
    </row>
    <row r="17" spans="1:7" x14ac:dyDescent="0.25">
      <c r="A17" s="1"/>
      <c r="B17" s="32" t="s">
        <v>212</v>
      </c>
      <c r="C17" s="27"/>
      <c r="D17" s="27"/>
      <c r="E17" s="12">
        <f>E12+E16</f>
        <v>-46828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1jS/+IPXpg64OvqNPANB3Adybh/PBAtj1zCOhdoUCjKWK1M6tkNn/LMNASQx2IRaydRs/oWCefV2lcM+CT2Gg==" saltValue="W8/8nNfpTAC1xcyFIyMoi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279</v>
      </c>
      <c r="C10" s="41"/>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pWCnhMX5Vg4H8htffwK79h67q5kYMGKaVFVcH4Me/PEguuGUOiE2awYMWx71FKavWF6Tnje4/DcnKbBAzjeHHA==" saltValue="XLT1qz2L92SJmWT0tvth9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280</v>
      </c>
      <c r="C11" s="21">
        <v>224566</v>
      </c>
      <c r="D11" s="14" t="s">
        <v>3</v>
      </c>
      <c r="E11" s="9">
        <v>1037279</v>
      </c>
      <c r="F11" s="14" t="s">
        <v>3</v>
      </c>
      <c r="G11" s="1"/>
    </row>
    <row r="12" spans="1:7" x14ac:dyDescent="0.25">
      <c r="A12" s="1"/>
      <c r="B12" s="32" t="s">
        <v>156</v>
      </c>
      <c r="C12" s="12">
        <f>SUM(C10:C11)</f>
        <v>224566</v>
      </c>
      <c r="D12" s="13" t="s">
        <v>3</v>
      </c>
      <c r="E12" s="12">
        <f>SUM(E10:E11)</f>
        <v>1037279</v>
      </c>
      <c r="F12" s="13" t="s">
        <v>3</v>
      </c>
      <c r="G12" s="1"/>
    </row>
    <row r="13" spans="1:7" x14ac:dyDescent="0.25">
      <c r="A13" s="1"/>
      <c r="B13" s="32" t="s">
        <v>213</v>
      </c>
      <c r="C13" s="12">
        <f>C12*(1+'Fane 15. Nøgletal'!C15)</f>
        <v>232560.54960000003</v>
      </c>
      <c r="D13" s="13" t="s">
        <v>3</v>
      </c>
      <c r="E13" s="12">
        <f>E12*(1+'Fane 15. Nøgletal'!C15)</f>
        <v>1074206.1324</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JIFbCIroTb9tHIt1mIm9rmLgsUgzlj1XbK1mSL79+tlZAnOWlpxQa9gPHTb5PfUcH6gWzr1MbbpxH9k5YfENA==" saltValue="Yq+gnUjwcio0zlFVuWIEa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3" t="s">
        <v>17</v>
      </c>
      <c r="C9" s="83" t="s">
        <v>11</v>
      </c>
      <c r="D9" s="84"/>
      <c r="E9" s="83" t="s">
        <v>31</v>
      </c>
      <c r="F9" s="31"/>
      <c r="G9" s="1"/>
    </row>
    <row r="10" spans="1:7" x14ac:dyDescent="0.25">
      <c r="A10" s="1"/>
      <c r="B10" s="23" t="s">
        <v>281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PJVcO4v/4i5QJhp3qi/RPi7YWE4b3R1zM85jqqZGCWHkLID05J6OtIVImyrP5d/h9/VV882j8RII181QiUYcYQ==" saltValue="pU/nbkP2Z0GDzOmpbQHGl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Kmq4y0smFfqllrTpeeZdCpdZM2fjAEj7ESocDAK+W8MGwPxfwaY/UC6kKqVaOdE/7tEks9J08JtHkydfyw4zA==" saltValue="d8lSVKkz6skXO+dG/agDp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5703125" style="2" customWidth="1"/>
    <col min="2" max="2" width="42.5703125" style="2" customWidth="1"/>
    <col min="3" max="3" width="15.5703125" style="2" customWidth="1"/>
    <col min="4" max="4" width="3.28515625" style="2" customWidth="1"/>
    <col min="5" max="5" width="17.140625" style="2" customWidth="1"/>
    <col min="6" max="6" width="3.28515625" style="2" customWidth="1"/>
    <col min="7" max="7" width="2.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UGSgAdMx5+JWOKkTj72cEjUKitc2QbqLTzt1e0fgbwNJ7mxXhnmTfs3CRHHaAyLwuDt0KhvO6ZS3YIq/DSxGg==" saltValue="I/GdTW7Q1QAHXIOSfIAmk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8fo1c4HeGaG02/JuLcPosv2sodkK0PexavtBCb1jQu3cbo9mU1ecAVFjxHFwrPg/0V1MqK0MGfHbQWhx5yNHdA==" saltValue="fB8UuX+QHVzWuOghEWjlY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101066977.22565338</v>
      </c>
      <c r="D9" s="8" t="s">
        <v>3</v>
      </c>
      <c r="E9" s="1"/>
    </row>
    <row r="10" spans="1:5" ht="17.25" customHeight="1" x14ac:dyDescent="0.25">
      <c r="A10" s="1"/>
      <c r="B10" s="82" t="s">
        <v>39</v>
      </c>
      <c r="C10" s="7">
        <f>'Fane 11.1. Varige tillæg'!C13</f>
        <v>232560.54960000003</v>
      </c>
      <c r="D10" s="8" t="s">
        <v>3</v>
      </c>
      <c r="E10" s="1"/>
    </row>
    <row r="11" spans="1:5" ht="17.25" customHeight="1" x14ac:dyDescent="0.25">
      <c r="A11" s="1"/>
      <c r="B11" s="82" t="s">
        <v>40</v>
      </c>
      <c r="C11" s="9">
        <f>'Fane 11.1. Varige tillæg'!E13</f>
        <v>1074206.1324</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380041.91872385616</v>
      </c>
      <c r="D16" s="8" t="s">
        <v>3</v>
      </c>
      <c r="E16" s="1"/>
    </row>
    <row r="17" spans="1:5" ht="17.25" customHeight="1" x14ac:dyDescent="0.25">
      <c r="A17" s="1"/>
      <c r="B17" s="82" t="s">
        <v>10</v>
      </c>
      <c r="C17" s="44">
        <f>-SUM(C9,C10:C16)*'Fane 5. Individuelt eff. krav'!G9</f>
        <v>-1911125.9046121938</v>
      </c>
      <c r="D17" s="8" t="s">
        <v>3</v>
      </c>
      <c r="E17" s="1"/>
    </row>
    <row r="18" spans="1:5" ht="17.25" customHeight="1" x14ac:dyDescent="0.25">
      <c r="A18" s="1"/>
      <c r="B18" s="82" t="s">
        <v>24</v>
      </c>
      <c r="C18" s="44">
        <f>-'Fane 4.1. Gen. krav - drift'!G45</f>
        <v>-678244.71963289892</v>
      </c>
      <c r="D18" s="8" t="s">
        <v>3</v>
      </c>
      <c r="E18" s="1"/>
    </row>
    <row r="19" spans="1:5" ht="17.25" customHeight="1" x14ac:dyDescent="0.25">
      <c r="A19" s="1"/>
      <c r="B19" s="82" t="s">
        <v>25</v>
      </c>
      <c r="C19" s="44">
        <f>-'Fane 4.2. Gen. krav - anlæg'!G43</f>
        <v>-1183513.7901260576</v>
      </c>
      <c r="D19" s="8" t="s">
        <v>3</v>
      </c>
      <c r="E19" s="48"/>
    </row>
    <row r="20" spans="1:5" ht="17.25" customHeight="1" x14ac:dyDescent="0.25">
      <c r="A20" s="1"/>
      <c r="B20" s="88" t="s">
        <v>21</v>
      </c>
      <c r="C20" s="10">
        <f>SUM(C9:C19)</f>
        <v>98980901.412006095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2464283.1760070403</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-6475112.3946148232</v>
      </c>
      <c r="D32" s="11" t="s">
        <v>3</v>
      </c>
      <c r="E32" s="1"/>
    </row>
    <row r="33" spans="1:5" ht="15" customHeight="1" x14ac:dyDescent="0.25">
      <c r="A33" s="1"/>
      <c r="B33" s="32" t="s">
        <v>185</v>
      </c>
      <c r="C33" s="27"/>
      <c r="D33" s="19"/>
      <c r="E33" s="1"/>
    </row>
    <row r="34" spans="1:5" x14ac:dyDescent="0.25">
      <c r="A34" s="1"/>
      <c r="B34" s="30" t="s">
        <v>185</v>
      </c>
      <c r="C34" s="10">
        <f>'Fane 9. Korrektion af ØR2021'!E17</f>
        <v>-46828</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94923244.193398312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O+RirZQ9fwa3HX+hx96OI4Jh9maG6P4BTN7e1tBkJKfL4zdxDvw1gkT7Y0sXPdXoejW84ChzpAjPhmgtMMy2g==" saltValue="z0FQpMPflkawac7T3PsEr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L2q4r+UV3BQEenwoC/JBwBJKEJjkJmthoSZoTQ+/cu7JKTlYnUJp/atYxkW+khvIbt57qo5eKeKIjuYAJUEi9w==" saltValue="gUDJGjZ/BtgSzR3iw7ddo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98980901.412006095</v>
      </c>
      <c r="D9" s="8" t="s">
        <v>3</v>
      </c>
      <c r="E9" s="1"/>
    </row>
    <row r="10" spans="1:5" ht="15" customHeight="1" x14ac:dyDescent="0.25">
      <c r="A10" s="1"/>
      <c r="B10" s="25" t="s">
        <v>19</v>
      </c>
      <c r="C10" s="7">
        <f>SUM(C9:C9)*'Fane 15. Nøgletal'!C15</f>
        <v>3523720.090267417</v>
      </c>
      <c r="D10" s="8" t="s">
        <v>3</v>
      </c>
      <c r="E10" s="1"/>
    </row>
    <row r="11" spans="1:5" ht="15" customHeight="1" x14ac:dyDescent="0.25">
      <c r="A11" s="1"/>
      <c r="B11" s="25" t="s">
        <v>10</v>
      </c>
      <c r="C11" s="9">
        <f>-SUM(C9:C10)*'Fane 5. Individuelt eff. krav'!G9</f>
        <v>-1906491.6773623636</v>
      </c>
      <c r="D11" s="8" t="s">
        <v>3</v>
      </c>
      <c r="E11" s="1"/>
    </row>
    <row r="12" spans="1:5" ht="15" customHeight="1" x14ac:dyDescent="0.25">
      <c r="A12" s="1"/>
      <c r="B12" s="25" t="s">
        <v>24</v>
      </c>
      <c r="C12" s="9">
        <f>-'Fane 4.1. Gen. krav - drift'!G53</f>
        <v>-688342.42701879353</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99909787.397892356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2546414.2690728912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-1731137.6733260266</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100725063.99363922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UcwvG0JwnjM6SjskqxkKMVw55Moh63Nr/lkJUb9z79xkUnGz8XugH8Y5H9Apk5dwAgtMU4S4JYdbVcGFW/ow==" saltValue="pQCyNX9wOnQ4zdig+hnBJ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99909787.397892356</v>
      </c>
      <c r="D9" s="8" t="s">
        <v>3</v>
      </c>
      <c r="E9" s="1"/>
    </row>
    <row r="10" spans="1:5" ht="15" customHeight="1" x14ac:dyDescent="0.25">
      <c r="A10" s="1"/>
      <c r="B10" s="25" t="s">
        <v>19</v>
      </c>
      <c r="C10" s="7">
        <f>SUM(C9:C9)*'Fane 15. Nøgletal'!C15</f>
        <v>3556788.431364968</v>
      </c>
      <c r="D10" s="8" t="s">
        <v>3</v>
      </c>
      <c r="E10" s="1"/>
    </row>
    <row r="11" spans="1:5" ht="15" customHeight="1" x14ac:dyDescent="0.25">
      <c r="A11" s="1"/>
      <c r="B11" s="25" t="s">
        <v>10</v>
      </c>
      <c r="C11" s="9">
        <f>-SUM(C9:C10)*'Fane 5. Individuelt eff. krav'!G9</f>
        <v>-1924383.1430496611</v>
      </c>
      <c r="D11" s="8" t="s">
        <v>3</v>
      </c>
      <c r="E11" s="1"/>
    </row>
    <row r="12" spans="1:5" ht="15" customHeight="1" x14ac:dyDescent="0.25">
      <c r="A12" s="1"/>
      <c r="B12" s="25" t="s">
        <v>24</v>
      </c>
      <c r="C12" s="9">
        <f>-'Fane 4.1. Gen. krav - drift'!G58</f>
        <v>-698590.46907224937</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100843602.21713541</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2631469.2290518861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-1731137.6733260266</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101743933.77286127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dPNIVY55P6l8ubLWGfM41OFhsMJ9o8uqVWiW+/+SCF+9v8Ta1+X4UNXrkDhqA3Vq/UUWwkA/x+7HdAS3RojNg==" saltValue="BOC5Ywe78jLxv3tYyRddK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100843602.21713541</v>
      </c>
      <c r="D9" s="8" t="s">
        <v>3</v>
      </c>
      <c r="E9" s="1"/>
    </row>
    <row r="10" spans="1:5" ht="15" customHeight="1" x14ac:dyDescent="0.25">
      <c r="A10" s="1"/>
      <c r="B10" s="25" t="s">
        <v>19</v>
      </c>
      <c r="C10" s="7">
        <f>SUM(C9:C9)*'Fane 15. Nøgletal'!C15</f>
        <v>3590032.2389300209</v>
      </c>
      <c r="D10" s="8" t="s">
        <v>3</v>
      </c>
      <c r="E10" s="1"/>
    </row>
    <row r="11" spans="1:5" ht="15" customHeight="1" x14ac:dyDescent="0.25">
      <c r="A11" s="1"/>
      <c r="B11" s="25" t="s">
        <v>10</v>
      </c>
      <c r="C11" s="9">
        <f>-SUM(C9:C10)*'Fane 5. Individuelt eff. krav'!G9</f>
        <v>-1942369.5440188139</v>
      </c>
      <c r="D11" s="8" t="s">
        <v>3</v>
      </c>
      <c r="E11" s="1"/>
    </row>
    <row r="12" spans="1:5" ht="15" customHeight="1" x14ac:dyDescent="0.25">
      <c r="A12" s="1"/>
      <c r="B12" s="25" t="s">
        <v>24</v>
      </c>
      <c r="C12" s="9">
        <f>-'Fane 4.1. Gen. krav - drift'!G63</f>
        <v>-708991.08397579705</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101782273.82807082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2719552.1456061336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-1731137.6733260266</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102770688.30035092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oz9SZPhhnv8oTmJanr0TOrhQ9J2KQ+II1hx44H5pxcymcryE8WBGU9ZzH+RNt7f2hTA53a8tNV7kWy+xNdnKg==" saltValue="Nm1HNMbF6ng+m12F0GiXo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0" t="s">
        <v>192</v>
      </c>
      <c r="C9" s="131"/>
      <c r="D9" s="132"/>
      <c r="E9" s="7">
        <v>101770097.69458349</v>
      </c>
      <c r="F9" s="8" t="s">
        <v>3</v>
      </c>
      <c r="G9" s="1"/>
    </row>
    <row r="10" spans="1:7" ht="15" customHeight="1" x14ac:dyDescent="0.25">
      <c r="A10" s="1"/>
      <c r="B10" s="121" t="s">
        <v>39</v>
      </c>
      <c r="C10" s="122"/>
      <c r="D10" s="123"/>
      <c r="E10" s="7">
        <v>833434.28690000006</v>
      </c>
      <c r="F10" s="8" t="s">
        <v>3</v>
      </c>
      <c r="G10" s="1"/>
    </row>
    <row r="11" spans="1:7" ht="15" customHeight="1" x14ac:dyDescent="0.25">
      <c r="A11" s="1"/>
      <c r="B11" s="121" t="s">
        <v>40</v>
      </c>
      <c r="C11" s="122"/>
      <c r="D11" s="123"/>
      <c r="E11" s="9">
        <v>1951714.4735000001</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345032.31330144551</v>
      </c>
      <c r="F16" s="8" t="s">
        <v>3</v>
      </c>
      <c r="G16" s="1"/>
    </row>
    <row r="17" spans="1:7" ht="15" customHeight="1" x14ac:dyDescent="0.25">
      <c r="A17" s="1"/>
      <c r="B17" s="130" t="s">
        <v>10</v>
      </c>
      <c r="C17" s="131"/>
      <c r="D17" s="132"/>
      <c r="E17" s="9">
        <v>-1951048.6990119887</v>
      </c>
      <c r="F17" s="8" t="s">
        <v>3</v>
      </c>
      <c r="G17" s="1"/>
    </row>
    <row r="18" spans="1:7" ht="15" customHeight="1" x14ac:dyDescent="0.25">
      <c r="A18" s="1"/>
      <c r="B18" s="130" t="s">
        <v>24</v>
      </c>
      <c r="C18" s="131"/>
      <c r="D18" s="132"/>
      <c r="E18" s="9">
        <f>-'Fane 4.1. Gen. krav - drift'!G39</f>
        <v>-684911.14580006769</v>
      </c>
      <c r="F18" s="8" t="s">
        <v>3</v>
      </c>
      <c r="G18" s="1"/>
    </row>
    <row r="19" spans="1:7" ht="15" customHeight="1" x14ac:dyDescent="0.25">
      <c r="A19" s="1"/>
      <c r="B19" s="130" t="s">
        <v>25</v>
      </c>
      <c r="C19" s="131"/>
      <c r="D19" s="132"/>
      <c r="E19" s="9">
        <f>-'Fane 4.2. Gen. krav - anlæg'!G37</f>
        <v>-1197341.6978195033</v>
      </c>
      <c r="F19" s="8" t="s">
        <v>3</v>
      </c>
      <c r="G19" s="1"/>
    </row>
    <row r="20" spans="1:7" ht="15" customHeight="1" x14ac:dyDescent="0.25">
      <c r="A20" s="1"/>
      <c r="B20" s="54" t="s">
        <v>21</v>
      </c>
      <c r="C20" s="89"/>
      <c r="D20" s="96"/>
      <c r="E20" s="51">
        <f>SUM(E9:E19)</f>
        <v>101066977.22565338</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2106041.7689815704</v>
      </c>
      <c r="F22" s="11" t="s">
        <v>3</v>
      </c>
      <c r="G22" s="1"/>
    </row>
    <row r="23" spans="1:7" ht="15" customHeight="1" x14ac:dyDescent="0.25">
      <c r="A23" s="1"/>
      <c r="B23" s="127" t="s">
        <v>86</v>
      </c>
      <c r="C23" s="128"/>
      <c r="D23" s="129"/>
      <c r="E23" s="27"/>
      <c r="F23" s="19"/>
      <c r="G23" s="1"/>
    </row>
    <row r="24" spans="1:7" ht="15" customHeight="1" x14ac:dyDescent="0.25">
      <c r="A24" s="1"/>
      <c r="B24" s="8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0</v>
      </c>
      <c r="F28" s="11" t="s">
        <v>3</v>
      </c>
      <c r="G28" s="1"/>
    </row>
    <row r="29" spans="1:7" ht="15" customHeight="1" x14ac:dyDescent="0.25">
      <c r="A29" s="1"/>
      <c r="B29" s="32" t="s">
        <v>143</v>
      </c>
      <c r="C29" s="32"/>
      <c r="D29" s="32"/>
      <c r="E29" s="27"/>
      <c r="F29" s="19"/>
      <c r="G29" s="1"/>
    </row>
    <row r="30" spans="1:7" ht="15" customHeight="1" x14ac:dyDescent="0.25">
      <c r="A30" s="1"/>
      <c r="B30" s="124" t="s">
        <v>142</v>
      </c>
      <c r="C30" s="125"/>
      <c r="D30" s="125"/>
      <c r="E30" s="39">
        <v>-6475112.3946148232</v>
      </c>
      <c r="F30" s="11" t="s">
        <v>3</v>
      </c>
      <c r="G30" s="1"/>
    </row>
    <row r="31" spans="1:7" x14ac:dyDescent="0.25">
      <c r="A31" s="1"/>
      <c r="B31" s="32" t="s">
        <v>123</v>
      </c>
      <c r="C31" s="27"/>
      <c r="D31" s="27"/>
      <c r="E31" s="27"/>
      <c r="F31" s="19"/>
      <c r="G31" s="1"/>
    </row>
    <row r="32" spans="1:7" ht="15.4" customHeight="1" x14ac:dyDescent="0.25">
      <c r="A32" s="1"/>
      <c r="B32" s="124" t="s">
        <v>123</v>
      </c>
      <c r="C32" s="125"/>
      <c r="D32" s="126"/>
      <c r="E32" s="10">
        <v>63654</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96761560.600020126</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kko2yPqjQxLr0hs3YMUteVxLfMYUqalQue3Con0ZLeMGKvPN16n7sKmDZZIzSrgi3jMDmzIf7CWJ0axDjabosg==" saltValue="7/qR3JLko3mK4hGXlB/3T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140625" style="2" customWidth="1"/>
    <col min="2" max="5" width="9.140625" style="2"/>
    <col min="6" max="6" width="26.7109375"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33843674.729208961</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676873.49458417925</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33747220.256230719</v>
      </c>
      <c r="H11" s="14" t="s">
        <v>3</v>
      </c>
      <c r="I11" s="1"/>
    </row>
    <row r="12" spans="1:9" ht="15" customHeight="1" x14ac:dyDescent="0.25">
      <c r="A12" s="1"/>
      <c r="B12" s="137" t="s">
        <v>121</v>
      </c>
      <c r="C12" s="138"/>
      <c r="D12" s="138"/>
      <c r="E12" s="138"/>
      <c r="F12" s="139"/>
      <c r="G12" s="77">
        <v>0</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674944.40512461436</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33651040.678500466</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673020.81357000931</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33627686.856269591</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672553.73712539184</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33604349.241591342</v>
      </c>
      <c r="H31" s="14" t="s">
        <v>3</v>
      </c>
      <c r="I31" s="1"/>
    </row>
    <row r="32" spans="1:9" x14ac:dyDescent="0.25">
      <c r="A32" s="1"/>
      <c r="B32" s="137" t="s">
        <v>137</v>
      </c>
      <c r="C32" s="138"/>
      <c r="D32" s="138"/>
      <c r="E32" s="138"/>
      <c r="F32" s="139"/>
      <c r="G32" s="76">
        <v>374716.44364392001</v>
      </c>
      <c r="H32" s="14" t="s">
        <v>3</v>
      </c>
      <c r="I32" s="1"/>
    </row>
    <row r="33" spans="1:9" x14ac:dyDescent="0.25">
      <c r="A33" s="1"/>
      <c r="B33" s="137" t="s">
        <v>60</v>
      </c>
      <c r="C33" s="138"/>
      <c r="D33" s="138"/>
      <c r="E33" s="138"/>
      <c r="F33" s="139"/>
      <c r="G33" s="76">
        <f>(G31+G32)*'Fane 15. Nøgletal'!C31</f>
        <v>679581.31370470522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33409372.66995661</v>
      </c>
      <c r="H37" s="14" t="s">
        <v>3</v>
      </c>
      <c r="I37" s="1"/>
    </row>
    <row r="38" spans="1:9" x14ac:dyDescent="0.25">
      <c r="A38" s="1"/>
      <c r="B38" s="137" t="s">
        <v>164</v>
      </c>
      <c r="C38" s="138"/>
      <c r="D38" s="138"/>
      <c r="E38" s="138"/>
      <c r="F38" s="139"/>
      <c r="G38" s="76">
        <v>836184.62004677008</v>
      </c>
      <c r="H38" s="14" t="s">
        <v>3</v>
      </c>
      <c r="I38" s="1"/>
    </row>
    <row r="39" spans="1:9" x14ac:dyDescent="0.25">
      <c r="A39" s="1"/>
      <c r="B39" s="137" t="s">
        <v>162</v>
      </c>
      <c r="C39" s="138"/>
      <c r="D39" s="138"/>
      <c r="E39" s="138"/>
      <c r="F39" s="139"/>
      <c r="G39" s="76">
        <f>(G37+G38)*'Fane 15. Nøgletal'!C31</f>
        <v>684911.14580006769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33671396.276479185</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240839.70516576004</v>
      </c>
      <c r="H44" s="14" t="s">
        <v>3</v>
      </c>
      <c r="I44" s="1"/>
    </row>
    <row r="45" spans="1:9" x14ac:dyDescent="0.25">
      <c r="A45" s="1"/>
      <c r="B45" s="137" t="s">
        <v>163</v>
      </c>
      <c r="C45" s="138"/>
      <c r="D45" s="138"/>
      <c r="E45" s="138"/>
      <c r="F45" s="139"/>
      <c r="G45" s="76">
        <f>SUM(G43:G44)*'Fane 15. Nøgletal'!C31</f>
        <v>678244.71963289892</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34417121.350939676</v>
      </c>
      <c r="H52" s="14" t="s">
        <v>3</v>
      </c>
      <c r="I52" s="1"/>
    </row>
    <row r="53" spans="1:9" x14ac:dyDescent="0.25">
      <c r="A53" s="1"/>
      <c r="B53" s="137" t="s">
        <v>138</v>
      </c>
      <c r="C53" s="138"/>
      <c r="D53" s="138"/>
      <c r="E53" s="138"/>
      <c r="F53" s="139"/>
      <c r="G53" s="76">
        <f>(G52)*'Fane 15. Nøgletal'!C31</f>
        <v>688342.42701879353</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34929523.453612469</v>
      </c>
      <c r="H57" s="14" t="s">
        <v>3</v>
      </c>
      <c r="I57" s="1"/>
    </row>
    <row r="58" spans="1:9" x14ac:dyDescent="0.25">
      <c r="A58" s="1"/>
      <c r="B58" s="91" t="s">
        <v>152</v>
      </c>
      <c r="C58" s="92"/>
      <c r="D58" s="92"/>
      <c r="E58" s="92"/>
      <c r="F58" s="93"/>
      <c r="G58" s="76">
        <f>(G57)*'Fane 15. Nøgletal'!C31</f>
        <v>698590.46907224937</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35449554.19878985</v>
      </c>
      <c r="H62" s="14" t="s">
        <v>3</v>
      </c>
      <c r="I62" s="1"/>
    </row>
    <row r="63" spans="1:9" x14ac:dyDescent="0.25">
      <c r="A63" s="1"/>
      <c r="B63" s="91" t="s">
        <v>195</v>
      </c>
      <c r="C63" s="92"/>
      <c r="D63" s="92"/>
      <c r="E63" s="92"/>
      <c r="F63" s="93"/>
      <c r="G63" s="76">
        <f>(G62)*'Fane 15. Nøgletal'!C31</f>
        <v>708991.08397579705</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a/iW6zO5xKCt2SXn/ag5w0LRkBc1j/nm6pmvFlsKFc5CO7Mp+JSvGFFG9f3VQ5Yb1mRh7Aw1YvdJ7gdHLS35Vw==" saltValue="tyZekGlxFC8361XqIbx79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8.1406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75586850.783497468</v>
      </c>
      <c r="H5" s="14" t="s">
        <v>3</v>
      </c>
      <c r="I5" s="1"/>
    </row>
    <row r="6" spans="1:9" x14ac:dyDescent="0.25">
      <c r="A6" s="1"/>
      <c r="B6" s="137" t="s">
        <v>57</v>
      </c>
      <c r="C6" s="138"/>
      <c r="D6" s="138"/>
      <c r="E6" s="138"/>
      <c r="F6" s="139"/>
      <c r="G6" s="76">
        <f>G5*'Fane 15. Nøgletal'!C20</f>
        <v>687840.34212982701</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76209743.124091581</v>
      </c>
      <c r="H10" s="14" t="s">
        <v>3</v>
      </c>
      <c r="I10" s="1"/>
    </row>
    <row r="11" spans="1:9" x14ac:dyDescent="0.25">
      <c r="A11" s="1"/>
      <c r="B11" s="137" t="s">
        <v>122</v>
      </c>
      <c r="C11" s="138"/>
      <c r="D11" s="138"/>
      <c r="E11" s="138"/>
      <c r="F11" s="139"/>
      <c r="G11" s="76">
        <v>343403.95279499952</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1354990.7032608925</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76514124.110164136</v>
      </c>
      <c r="H17" s="14" t="s">
        <v>3</v>
      </c>
      <c r="I17" s="1"/>
    </row>
    <row r="18" spans="1:9" x14ac:dyDescent="0.25">
      <c r="A18" s="1"/>
      <c r="B18" s="140" t="s">
        <v>68</v>
      </c>
      <c r="C18" s="141"/>
      <c r="D18" s="141"/>
      <c r="E18" s="141"/>
      <c r="F18" s="142"/>
      <c r="G18" s="76">
        <v>1745772.2811990797</v>
      </c>
      <c r="H18" s="14" t="s">
        <v>3</v>
      </c>
      <c r="I18" s="1"/>
    </row>
    <row r="19" spans="1:9" x14ac:dyDescent="0.25">
      <c r="A19" s="1"/>
      <c r="B19" s="137" t="s">
        <v>69</v>
      </c>
      <c r="C19" s="138"/>
      <c r="D19" s="138"/>
      <c r="E19" s="138"/>
      <c r="F19" s="139"/>
      <c r="G19" s="76">
        <f>G17*'Fane 15. Nøgletal'!C21+G18*'Fane 15. Nøgletal'!C22</f>
        <v>1369488.2155963371</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78405149.216829494</v>
      </c>
      <c r="H23" s="14" t="s">
        <v>3</v>
      </c>
      <c r="I23" s="1"/>
    </row>
    <row r="24" spans="1:9" x14ac:dyDescent="0.25">
      <c r="A24" s="1"/>
      <c r="B24" s="140" t="s">
        <v>72</v>
      </c>
      <c r="C24" s="141"/>
      <c r="D24" s="141"/>
      <c r="E24" s="141"/>
      <c r="F24" s="142"/>
      <c r="G24" s="76">
        <v>2135426.7994466517</v>
      </c>
      <c r="H24" s="14" t="s">
        <v>3</v>
      </c>
      <c r="I24" s="1"/>
    </row>
    <row r="25" spans="1:9" x14ac:dyDescent="0.25">
      <c r="A25" s="1"/>
      <c r="B25" s="137" t="s">
        <v>73</v>
      </c>
      <c r="C25" s="138"/>
      <c r="D25" s="138"/>
      <c r="E25" s="138"/>
      <c r="F25" s="139"/>
      <c r="G25" s="76">
        <f>(G23+G24)*'Fane 15. Nøgletal'!C23</f>
        <v>2287352.3588622427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79794812.163464978</v>
      </c>
      <c r="H29" s="14" t="s">
        <v>3</v>
      </c>
      <c r="I29" s="1"/>
    </row>
    <row r="30" spans="1:9" x14ac:dyDescent="0.25">
      <c r="A30" s="1"/>
      <c r="B30" s="137" t="s">
        <v>139</v>
      </c>
      <c r="C30" s="138"/>
      <c r="D30" s="138"/>
      <c r="E30" s="138"/>
      <c r="F30" s="139"/>
      <c r="G30" s="76">
        <v>1187676.48175596</v>
      </c>
      <c r="H30" s="14" t="s">
        <v>3</v>
      </c>
      <c r="I30" s="1"/>
    </row>
    <row r="31" spans="1:9" x14ac:dyDescent="0.25">
      <c r="A31" s="1"/>
      <c r="B31" s="137" t="s">
        <v>76</v>
      </c>
      <c r="C31" s="138"/>
      <c r="D31" s="138"/>
      <c r="E31" s="138"/>
      <c r="F31" s="139"/>
      <c r="G31" s="76">
        <f>G29*'Fane 15. Nøgletal'!C23+G30*'Fane 15. Nøgletal'!C24</f>
        <v>2298833.7686906946</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78943310.9376228</v>
      </c>
      <c r="H35" s="14" t="s">
        <v>3</v>
      </c>
      <c r="I35" s="1"/>
    </row>
    <row r="36" spans="1:9" x14ac:dyDescent="0.25">
      <c r="A36" s="1"/>
      <c r="B36" s="137" t="s">
        <v>167</v>
      </c>
      <c r="C36" s="138"/>
      <c r="D36" s="138"/>
      <c r="E36" s="138"/>
      <c r="F36" s="139"/>
      <c r="G36" s="76">
        <v>1958155.1312625501</v>
      </c>
      <c r="H36" s="14" t="s">
        <v>3</v>
      </c>
      <c r="I36" s="1"/>
    </row>
    <row r="37" spans="1:9" x14ac:dyDescent="0.25">
      <c r="A37" s="1"/>
      <c r="B37" s="137" t="s">
        <v>166</v>
      </c>
      <c r="C37" s="138"/>
      <c r="D37" s="138"/>
      <c r="E37" s="138"/>
      <c r="F37" s="139"/>
      <c r="G37" s="76">
        <f>(G35+G36)*'Fane 15. Nøgletal'!C25</f>
        <v>1197341.6978195033</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79967147.981490374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1112447.87071344</v>
      </c>
      <c r="H42" s="14" t="s">
        <v>3</v>
      </c>
      <c r="I42" s="1"/>
    </row>
    <row r="43" spans="1:9" x14ac:dyDescent="0.25">
      <c r="A43" s="1"/>
      <c r="B43" s="137" t="s">
        <v>168</v>
      </c>
      <c r="C43" s="138"/>
      <c r="D43" s="138"/>
      <c r="E43" s="138"/>
      <c r="F43" s="139"/>
      <c r="G43" s="76">
        <f>(G41)*'Fane 15. Nøgletal'!C25+G42*'Fane 15. Nøgletal'!C26</f>
        <v>1183513.7901260576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82740382.583487734</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85685940.203459904</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88736359.674703076</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s0UznwlgrSDOxt+kznTZ8pwP7SazDXl/OXwYTbEJfrhoVd1KHc8HebFy7E/IV987DqVNqGSr0k3yGQM4tkichQ==" saltValue="+LUjOSFdr9mzzvuzS/j/J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1.859908021142323E-2</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JPajQf+32gRxIc8Rcst4F36d1aqEDgpbKZwCx9i+CVj3p56qqQEcwZ3gNKd1NI19c3ih3Fbe3+mw02M1mKpJGA==" saltValue="HbCggJesrWniF10Czakgf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2022-12-01T08:35:06Z</dcterms:modified>
</cp:coreProperties>
</file>