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esthimmerlands Vand AS (V208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1" i="3"/>
  <c r="E20" i="4"/>
  <c r="E29" i="8"/>
  <c r="E25" i="2" s="1"/>
  <c r="C11" i="7"/>
  <c r="E10" i="2" l="1"/>
  <c r="E14" i="6"/>
  <c r="C11" i="12" l="1"/>
  <c r="C12" i="12" s="1"/>
  <c r="C12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<sst xmlns="http://schemas.openxmlformats.org/spreadsheetml/2006/main" count="399" uniqueCount="151">
  <si>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</si>
  <si>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</si>
  <si>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</si>
  <si>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</si>
  <si>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</si>
  <si>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</si>
  <si>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</si>
  <si>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</si>
  <si>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</si>
  <si>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</si>
  <si>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</si>
  <si>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</si>
  <si>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</si>
  <si>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</si>
  <si>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</si>
  <si>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</si>
  <si>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</si>
  <si>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</si>
  <si>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</si>
  <si>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</si>
  <si>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</si>
  <si>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</si>
  <si>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</si>
  <si>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</si>
  <si>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</si>
  <si>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</si>
  <si>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</si>
  <si>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</si>
  <si>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</si>
  <si>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</si>
  <si>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</si>
  <si>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</si>
  <si>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</si>
  <si>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</si>
  <si>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</si>
  <si>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</si>
  <si>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</si>
  <si>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</si>
  <si>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</si>
  <si>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</si>
  <si>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</si>
  <si>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</si>
  <si>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</si>
  <si>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</si>
  <si>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</si>
  <si>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</si>
  <si>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</si>
  <si>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</si>
  <si>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</si>
  <si>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</si>
  <si>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</si>
  <si>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</si>
  <si>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</si>
  <si>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</si>
  <si>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</si>
  <si>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</si>
  <si>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</si>
  <si>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</si>
  <si>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</si>
  <si>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</si>
  <si>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</si>
  <si>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</si>
  <si>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</si>
  <si>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</si>
  <si>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</si>
  <si>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</si>
  <si>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</si>
  <si>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</si>
  <si>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</si>
  <si>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</si>
  <si>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</si>
  <si>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</si>
  <si>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</si>
  <si>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</si>
  <si>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</si>
  <si>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</si>
  <si>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</si>
  <si>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</si>
  <si>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</si>
  <si>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</si>
  <si>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</si>
  <si>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</si>
  <si>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</si>
  <si>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</si>
  <si>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</si>
  <si>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</si>
  <si>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</si>
  <si>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</si>
  <si>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</si>
  <si>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</si>
  <si>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</si>
  <si>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</si>
  <si>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</si>
  <si>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</si>
  <si>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</si>
  <si>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</si>
  <si>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</si>
  <si>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</si>
  <si>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</si>
  <si>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</si>
  <si>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</si>
  <si>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</si>
  <si>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</si>
  <si>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</si>
  <si>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</si>
  <si>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</si>
  <si>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</si>
  <si>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</si>
  <si>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</si>
  <si>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</si>
  <si>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</si>
  <si>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</si>
  <si>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</si>
  <si>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</si>
  <si>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</si>
  <si>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</si>
  <si>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</si>
  <si>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</si>
  <si>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</si>
  <si>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</si>
  <si>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</si>
  <si>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</si>
  <si>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</si>
  <si>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</si>
  <si>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</si>
  <si>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</si>
  <si>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</si>
  <si>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</si>
  <si>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</si>
  <si>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</si>
  <si>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Afgift for ledningsført vand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</si>
  <si>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</si>
  <si>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</si>
  <si>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</si>
  <si>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</si>
  <si>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</si>
  <si>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</si>
  <si>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</si>
  <si>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</si>
  <si>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</si>
  <si>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</si>
  <si>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</si>
  <si>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</si>
  <si>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</si>
  <si>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</si>
  <si>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</si>
  <si>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</si>
  <si>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</si>
  <si>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</si>
  <si>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Ingen engangstillæg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</si>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</sst>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4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4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4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4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4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HunjrCHPvXoPdA6pkLeZqU5MfyMbClfMyMr5SQ75ShE5lw4HzvKI91ZOnR0ETdzCqNhNy77bCZu1JgF9tXMstw==" saltValue="ZniSScJA75esQVc60sQqgg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4" t="s">
        <v>38</v>
      </c>
      <c r="C8" s="22"/>
      <c r="D8" s="22"/>
      <c r="E8" s="22"/>
      <c r="F8" s="55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4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Rx3FOSHS+hEexAX9udVphMRgDyJWBBPpXjW7E12OQFvlTNyaaDhQzrQ0X4X3XqnUGFJeHfQzsRUNxMJGJY9hqA==" saltValue="vnFmmT3/G6n6jsIXVexghg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149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4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4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3"/>
      <c r="G16" s="1"/>
    </row>
    <row r="17" spans="1:7" x14ac:dyDescent="0.45">
      <c r="A17" s="1"/>
      <c r="B17" s="20" t="s">
        <v>149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4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4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3"/>
      <c r="G23" s="1"/>
    </row>
    <row r="24" spans="1:7" x14ac:dyDescent="0.45">
      <c r="A24" s="1"/>
      <c r="B24" s="20" t="s">
        <v>149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4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4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3"/>
      <c r="G30" s="1"/>
    </row>
    <row r="31" spans="1:7" x14ac:dyDescent="0.45">
      <c r="A31" s="1"/>
      <c r="B31" s="20" t="s">
        <v>149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4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4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uSNLqWEvE739EIT3UbT7++mzR/Koo9tFsNWSWfYlO3SUzIty4kATB3GVZg1GENn5qbNiUifP5A1/FYmq5AQ0bg==" saltValue="fKqfYZngQ+nRPDyEbfTM1w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i1zmn+whlogOGikdTAagtmJTbok4G9xcLnN5m/7OwubQsl9S31Ydt02BE4lPRCpAZt8B7tqdvmAo3UGH78//5Q==" saltValue="qSEMvcvu0STs7SoN1+APWw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17</v>
      </c>
      <c r="C9" s="52" t="s">
        <v>11</v>
      </c>
      <c r="D9" s="53"/>
      <c r="E9" s="52" t="s">
        <v>28</v>
      </c>
      <c r="F9" s="53"/>
      <c r="G9" s="1"/>
    </row>
    <row r="10" spans="1:7" x14ac:dyDescent="0.45">
      <c r="A10" s="1"/>
      <c r="B10" s="20" t="s">
        <v>131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4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2" t="s">
        <v>17</v>
      </c>
      <c r="C15" s="52" t="s">
        <v>11</v>
      </c>
      <c r="D15" s="53"/>
      <c r="E15" s="52" t="s">
        <v>28</v>
      </c>
      <c r="F15" s="53"/>
      <c r="G15" s="1"/>
    </row>
    <row r="16" spans="1:7" x14ac:dyDescent="0.45">
      <c r="A16" s="1"/>
      <c r="B16" s="20" t="s">
        <v>131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4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4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2" t="s">
        <v>17</v>
      </c>
      <c r="C21" s="52" t="s">
        <v>11</v>
      </c>
      <c r="D21" s="53"/>
      <c r="E21" s="52" t="s">
        <v>28</v>
      </c>
      <c r="F21" s="53"/>
      <c r="G21" s="1"/>
    </row>
    <row r="22" spans="1:7" x14ac:dyDescent="0.45">
      <c r="A22" s="1"/>
      <c r="B22" s="20" t="s">
        <v>131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4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4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2" t="s">
        <v>17</v>
      </c>
      <c r="C27" s="52" t="s">
        <v>11</v>
      </c>
      <c r="D27" s="53"/>
      <c r="E27" s="52" t="s">
        <v>28</v>
      </c>
      <c r="F27" s="53"/>
      <c r="G27" s="1"/>
    </row>
    <row r="28" spans="1:7" x14ac:dyDescent="0.45">
      <c r="A28" s="1"/>
      <c r="B28" s="20" t="s">
        <v>131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4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4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9Vf/lReLzTNUKmjC1S3HsOk7RI7AMpUxbrstKNxMnnCVI/zjtESpHrYNG5dDJZHcAw6/wRC0Ih52gbpdjYFvTw==" saltValue="WmT9kH5a4cCIFC36i8hQ0w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93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4" t="s">
        <v>14</v>
      </c>
      <c r="C8" s="55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4"/>
      <c r="C15" s="55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4" t="s">
        <v>54</v>
      </c>
      <c r="C18" s="55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yx4Bnp4w7Ab+CBKGX2fz24DxRodU0YSXmNoxonZCraA4RDVs2tBYP747rxYaxR+P54iQzBPuvQzQcsGp47Cn3Q==" saltValue="WvK5TW3LH3MYDKEUo8hVHw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37" t="s">
        <v>24</v>
      </c>
      <c r="C9" s="37"/>
      <c r="D9" s="37"/>
      <c r="E9" s="7">
        <f>'Fane 3. Omkostninger i ØR2021'!E16</f>
        <v>1813017.9856405277</v>
      </c>
      <c r="F9" s="37" t="s">
        <v>3</v>
      </c>
      <c r="G9" s="1"/>
    </row>
    <row r="10" spans="1:7" ht="17.100000000000001" customHeight="1" x14ac:dyDescent="0.45">
      <c r="A10" s="1"/>
      <c r="B10" s="33" t="s">
        <v>121</v>
      </c>
      <c r="C10" s="37"/>
      <c r="D10" s="37"/>
      <c r="E10" s="7">
        <f>'Fane 3. Omkostninger i ØR2021'!E13*(1-'Fane 10. Nøgletal'!C19)*(1+'Fane 10. Nøgletal'!C13)</f>
        <v>0</v>
      </c>
      <c r="F10" s="37" t="s">
        <v>3</v>
      </c>
      <c r="G10" s="1"/>
    </row>
    <row r="11" spans="1:7" ht="17.100000000000001" customHeight="1" x14ac:dyDescent="0.45">
      <c r="A11" s="1"/>
      <c r="B11" s="29" t="s">
        <v>60</v>
      </c>
      <c r="C11" s="37"/>
      <c r="D11" s="37"/>
      <c r="E11" s="7">
        <f>'Fane 7.1. Varige tillæg'!C12+'Fane 7.1. Varige tillæg'!E12</f>
        <v>0</v>
      </c>
      <c r="F11" s="37" t="s">
        <v>3</v>
      </c>
      <c r="G11" s="1"/>
    </row>
    <row r="12" spans="1:7" ht="17.100000000000001" customHeight="1" x14ac:dyDescent="0.45">
      <c r="A12" s="1"/>
      <c r="B12" s="29" t="s">
        <v>62</v>
      </c>
      <c r="C12" s="37"/>
      <c r="D12" s="37"/>
      <c r="E12" s="8">
        <f>-('Fane 9. Bortfald'!C12+'Fane 9. Bortfald'!E12)</f>
        <v>0</v>
      </c>
      <c r="F12" s="37" t="s">
        <v>3</v>
      </c>
      <c r="G12" s="1"/>
    </row>
    <row r="13" spans="1:7" ht="17.100000000000001" customHeight="1" x14ac:dyDescent="0.45">
      <c r="A13" s="1"/>
      <c r="B13" s="29" t="s">
        <v>65</v>
      </c>
      <c r="C13" s="37"/>
      <c r="D13" s="37"/>
      <c r="E13" s="8">
        <f>'Fane 8. Tilknyttet virksomhed'!C12+'Fane 8. Tilknyttet virksomhed'!E12</f>
        <v>0</v>
      </c>
      <c r="F13" s="37" t="s">
        <v>3</v>
      </c>
      <c r="G13" s="1"/>
    </row>
    <row r="14" spans="1:7" ht="17.100000000000001" customHeight="1" x14ac:dyDescent="0.45">
      <c r="A14" s="1"/>
      <c r="B14" s="29" t="s">
        <v>18</v>
      </c>
      <c r="C14" s="37"/>
      <c r="D14" s="37"/>
      <c r="E14" s="8">
        <f>E9*'Fane 10. Nøgletal'!C13+SUM(E11:E13)*'Fane 10. Nøgletal'!C14</f>
        <v>22118.819424814439</v>
      </c>
      <c r="F14" s="37" t="s">
        <v>3</v>
      </c>
      <c r="G14" s="1"/>
    </row>
    <row r="15" spans="1:7" ht="17.100000000000001" customHeight="1" x14ac:dyDescent="0.45">
      <c r="A15" s="1"/>
      <c r="B15" s="29" t="s">
        <v>54</v>
      </c>
      <c r="C15" s="37"/>
      <c r="D15" s="37"/>
      <c r="E15" s="8">
        <f>-SUM(E9,E11:E14)*'Fane 10. Nøgletal'!C19</f>
        <v>-31197.32568611082</v>
      </c>
      <c r="F15" s="37" t="s">
        <v>3</v>
      </c>
      <c r="G15" s="1"/>
    </row>
    <row r="16" spans="1:7" ht="15" customHeight="1" x14ac:dyDescent="0.45">
      <c r="A16" s="1"/>
      <c r="B16" s="51" t="s">
        <v>20</v>
      </c>
      <c r="C16" s="39"/>
      <c r="D16" s="39"/>
      <c r="E16" s="9">
        <f>SUM(E9,E11:E15)</f>
        <v>1803939.4793792313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omk.'!C12</f>
        <v>341662.86167291005</v>
      </c>
      <c r="F18" s="41" t="s">
        <v>3</v>
      </c>
      <c r="G18" s="1"/>
    </row>
    <row r="19" spans="1:7" ht="15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9" t="s">
        <v>39</v>
      </c>
      <c r="C20" s="37"/>
      <c r="D20" s="37"/>
      <c r="E20" s="8">
        <f>'Fane 7.2. Engangstillæg'!C13</f>
        <v>0</v>
      </c>
      <c r="F20" s="37" t="s">
        <v>3</v>
      </c>
      <c r="G20" s="1"/>
    </row>
    <row r="21" spans="1:7" x14ac:dyDescent="0.45">
      <c r="A21" s="1"/>
      <c r="B21" s="29" t="s">
        <v>40</v>
      </c>
      <c r="C21" s="37"/>
      <c r="D21" s="37"/>
      <c r="E21" s="8">
        <f>'Fane 7.2. Engangstillæg'!E13</f>
        <v>0</v>
      </c>
      <c r="F21" s="37" t="s">
        <v>3</v>
      </c>
      <c r="G21" s="1"/>
    </row>
    <row r="22" spans="1:7" ht="15" customHeight="1" x14ac:dyDescent="0.45">
      <c r="A22" s="1"/>
      <c r="B22" s="51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-223499.3778945196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f>'Fane 5. Kontrol af ØR2020'!E29</f>
        <v>0</v>
      </c>
      <c r="F25" s="41" t="s">
        <v>3</v>
      </c>
      <c r="G25" s="1"/>
    </row>
    <row r="26" spans="1:7" x14ac:dyDescent="0.45">
      <c r="A26" s="1"/>
      <c r="B26" s="40" t="s">
        <v>145</v>
      </c>
      <c r="C26" s="40"/>
      <c r="D26" s="40"/>
      <c r="E26" s="40"/>
      <c r="F26" s="40"/>
      <c r="G26" s="1"/>
    </row>
    <row r="27" spans="1:7" x14ac:dyDescent="0.45">
      <c r="A27" s="1"/>
      <c r="B27" s="41" t="s">
        <v>146</v>
      </c>
      <c r="C27" s="41"/>
      <c r="D27" s="41"/>
      <c r="E27" s="9">
        <v>0</v>
      </c>
      <c r="F27" s="41" t="s">
        <v>3</v>
      </c>
      <c r="G27" s="1"/>
    </row>
    <row r="28" spans="1:7" x14ac:dyDescent="0.45">
      <c r="A28" s="1"/>
      <c r="B28" s="40" t="s">
        <v>26</v>
      </c>
      <c r="C28" s="40"/>
      <c r="D28" s="40"/>
      <c r="E28" s="10">
        <f>SUM(E16,E18,E22,E24,E25,E27)</f>
        <v>1922102.9631576219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89trj9uZKugoWXisGPtXiFlGNYoUXTtaaDeSahVf9b14/xti5GaUkvLprWdlj4Cs2idcHOWcTI0f8jzKQsaMEA==" saltValue="LQYuUtsUrqeVnDRRkevL5Q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37" t="s">
        <v>66</v>
      </c>
      <c r="C9" s="37"/>
      <c r="D9" s="37"/>
      <c r="E9" s="7">
        <f>'Fane 2.1. Økonomisk ramme 2022'!E16</f>
        <v>1803939.4793792313</v>
      </c>
      <c r="F9" s="37" t="s">
        <v>3</v>
      </c>
      <c r="G9" s="1"/>
    </row>
    <row r="10" spans="1:7" ht="15" customHeight="1" x14ac:dyDescent="0.45">
      <c r="A10" s="1"/>
      <c r="B10" s="29" t="s">
        <v>62</v>
      </c>
      <c r="C10" s="37"/>
      <c r="D10" s="37"/>
      <c r="E10" s="7">
        <f>-('Fane 9. Bortfald'!C18+'Fane 9. Bortfald'!E18)</f>
        <v>0</v>
      </c>
      <c r="F10" s="37" t="s">
        <v>3</v>
      </c>
      <c r="G10" s="1"/>
    </row>
    <row r="11" spans="1:7" ht="15" customHeight="1" x14ac:dyDescent="0.45">
      <c r="A11" s="1"/>
      <c r="B11" s="38" t="s">
        <v>18</v>
      </c>
      <c r="C11" s="37"/>
      <c r="D11" s="37"/>
      <c r="E11" s="8">
        <f>SUM(E9:E10)*'Fane 10. Nøgletal'!C14</f>
        <v>5953.000281951463</v>
      </c>
      <c r="F11" s="37" t="s">
        <v>3</v>
      </c>
      <c r="G11" s="1"/>
    </row>
    <row r="12" spans="1:7" ht="15" customHeight="1" x14ac:dyDescent="0.45">
      <c r="A12" s="1"/>
      <c r="B12" s="38" t="s">
        <v>54</v>
      </c>
      <c r="C12" s="37"/>
      <c r="D12" s="37"/>
      <c r="E12" s="8">
        <f>-SUM(E9:E11)*'Fane 10. Nøgletal'!C19</f>
        <v>-30768.17215424011</v>
      </c>
      <c r="F12" s="37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1779124.3075069427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omk.'!C12*(1+'Fane 10. Nøgletal'!C14)</f>
        <v>342790.34911643068</v>
      </c>
      <c r="F15" s="41" t="s">
        <v>3</v>
      </c>
      <c r="G15" s="1"/>
    </row>
    <row r="16" spans="1:7" ht="15" customHeight="1" x14ac:dyDescent="0.4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9" t="s">
        <v>39</v>
      </c>
      <c r="C17" s="37"/>
      <c r="D17" s="37"/>
      <c r="E17" s="8">
        <f>'Fane 7.2. Engangstillæg'!C20</f>
        <v>0</v>
      </c>
      <c r="F17" s="37" t="s">
        <v>3</v>
      </c>
      <c r="G17" s="1"/>
    </row>
    <row r="18" spans="1:7" ht="15" customHeight="1" x14ac:dyDescent="0.45">
      <c r="A18" s="1"/>
      <c r="B18" s="29" t="s">
        <v>40</v>
      </c>
      <c r="C18" s="37"/>
      <c r="D18" s="37"/>
      <c r="E18" s="8">
        <f>'Fane 7.2. Engangstillæg'!E20</f>
        <v>0</v>
      </c>
      <c r="F18" s="37" t="s">
        <v>3</v>
      </c>
      <c r="G18" s="1"/>
    </row>
    <row r="19" spans="1:7" ht="15" customHeight="1" x14ac:dyDescent="0.45">
      <c r="A19" s="1"/>
      <c r="B19" s="51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85</v>
      </c>
      <c r="C20" s="40"/>
      <c r="D20" s="40"/>
      <c r="E20" s="40"/>
      <c r="F20" s="40"/>
      <c r="G20" s="1"/>
    </row>
    <row r="21" spans="1:7" x14ac:dyDescent="0.45">
      <c r="A21" s="1"/>
      <c r="B21" s="41" t="s">
        <v>147</v>
      </c>
      <c r="C21" s="41"/>
      <c r="D21" s="41"/>
      <c r="E21" s="9">
        <f>'Fane 5. Kontrol af ØR2020'!E35</f>
        <v>0</v>
      </c>
      <c r="F21" s="41" t="s">
        <v>3</v>
      </c>
      <c r="G21" s="1"/>
    </row>
    <row r="22" spans="1:7" x14ac:dyDescent="0.45">
      <c r="A22" s="1"/>
      <c r="B22" s="40" t="s">
        <v>47</v>
      </c>
      <c r="C22" s="40"/>
      <c r="D22" s="40"/>
      <c r="E22" s="10">
        <f>SUM(E13,E15,E19,E21)</f>
        <v>2121914.6566233733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B3m2HoErHLnI9DIoQLw9dbmAeftaRAetLrHivm0ddIq5vYT+KzsleKEiBuxvQJDlmTi5wRvPtEnhVv/hvBX5jQ==" saltValue="S11cdG/WHQ7I2EhNwO1SI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67</v>
      </c>
      <c r="C8" s="37"/>
      <c r="D8" s="37"/>
      <c r="E8" s="7">
        <f>'Fane 2.2. Økonomisk ramme 2023'!E13</f>
        <v>1779124.3075069427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Bortfald'!C24+'Fane 9. Bortfald'!E24)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5871.1102147729107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-30344.922101269167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1754650.4956204463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omk.'!C12*(1+'Fane 10. Nøgletal'!C14)^2</f>
        <v>343921.55726851494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Engangstillæg'!C27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Engangstillæg'!E27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68</v>
      </c>
      <c r="C21" s="40"/>
      <c r="D21" s="40"/>
      <c r="E21" s="10">
        <f>SUM(E12,E14,E18,E20)</f>
        <v>2098572.052888961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X0QtnsPJwP7HzfEAqOXYNBx94TjUg+3QFhQXY3T2I6Rf9K42/wljxN3y0wNxTBePQXgqpB6VgOFdZAw/+V57GA==" saltValue="qb+I8Tv47Ch3tY2hrm306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103</v>
      </c>
      <c r="C8" s="37"/>
      <c r="D8" s="37"/>
      <c r="E8" s="7">
        <f>'Fane 2.3. Økonomisk ramme 2024'!E12</f>
        <v>1754650.4956204463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Bortfald'!C30+'Fane 9. Bortfald'!E30)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5790.3466355474729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-29927.494318351895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1730513.3479376419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omk.'!C12*(1+'Fane 10. Nøgletal'!C14)^3</f>
        <v>345056.49840750103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Engangstillæg'!C34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Engangstillæg'!E34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104</v>
      </c>
      <c r="C21" s="40"/>
      <c r="D21" s="40"/>
      <c r="E21" s="10">
        <f>SUM(E12,E14,E18,E20)</f>
        <v>2075569.8463451429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IovKeEZuPEro+GiybTjxwdiswddf89cb+hwIKVsnMAbe846InQoc4skz+OGwr2owQ50pKhwKQUAHbR8qnYN8Tg==" saltValue="Ip0W3/ee93QZ8CoNiV0kn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126</v>
      </c>
      <c r="C8" s="40"/>
      <c r="D8" s="40"/>
      <c r="E8" s="40"/>
      <c r="F8" s="40"/>
      <c r="G8" s="1"/>
    </row>
    <row r="9" spans="1:7" x14ac:dyDescent="0.45">
      <c r="A9" s="1"/>
      <c r="B9" s="87" t="s">
        <v>23</v>
      </c>
      <c r="C9" s="87"/>
      <c r="D9" s="87"/>
      <c r="E9" s="7">
        <v>1786883.9934467378</v>
      </c>
      <c r="F9" s="37" t="s">
        <v>3</v>
      </c>
      <c r="G9" s="1"/>
    </row>
    <row r="10" spans="1:7" x14ac:dyDescent="0.45">
      <c r="A10" s="1"/>
      <c r="B10" s="76" t="s">
        <v>128</v>
      </c>
      <c r="C10" s="76"/>
      <c r="D10" s="76"/>
      <c r="E10" s="7">
        <v>35258.186947897899</v>
      </c>
      <c r="F10" s="37" t="s">
        <v>3</v>
      </c>
      <c r="G10" s="1"/>
    </row>
    <row r="11" spans="1:7" x14ac:dyDescent="0.45">
      <c r="A11" s="1"/>
      <c r="B11" s="76" t="s">
        <v>60</v>
      </c>
      <c r="C11" s="76"/>
      <c r="D11" s="76"/>
      <c r="E11" s="7">
        <v>0</v>
      </c>
      <c r="F11" s="37" t="s">
        <v>3</v>
      </c>
      <c r="G11" s="1"/>
    </row>
    <row r="12" spans="1:7" x14ac:dyDescent="0.45">
      <c r="A12" s="1"/>
      <c r="B12" s="76" t="s">
        <v>65</v>
      </c>
      <c r="C12" s="76"/>
      <c r="D12" s="76"/>
      <c r="E12" s="7">
        <v>0</v>
      </c>
      <c r="F12" s="37" t="s">
        <v>3</v>
      </c>
      <c r="G12" s="1"/>
    </row>
    <row r="13" spans="1:7" x14ac:dyDescent="0.45">
      <c r="A13" s="1"/>
      <c r="B13" s="76" t="s">
        <v>61</v>
      </c>
      <c r="C13" s="76"/>
      <c r="D13" s="76"/>
      <c r="E13" s="8">
        <v>0</v>
      </c>
      <c r="F13" s="37" t="s">
        <v>3</v>
      </c>
      <c r="G13" s="1"/>
    </row>
    <row r="14" spans="1:7" x14ac:dyDescent="0.45">
      <c r="A14" s="1"/>
      <c r="B14" s="76" t="s">
        <v>18</v>
      </c>
      <c r="C14" s="76"/>
      <c r="D14" s="76"/>
      <c r="E14" s="8">
        <f>SUM(E9:E13)*'Fane 10. Nøgletal'!C13</f>
        <v>22230.134600814559</v>
      </c>
      <c r="F14" s="37" t="s">
        <v>3</v>
      </c>
      <c r="G14" s="1"/>
    </row>
    <row r="15" spans="1:7" x14ac:dyDescent="0.45">
      <c r="A15" s="1"/>
      <c r="B15" s="76" t="s">
        <v>54</v>
      </c>
      <c r="C15" s="76"/>
      <c r="D15" s="76"/>
      <c r="E15" s="8">
        <f>-SUM(E9:E14)*'Fane 10. Nøgletal'!C19</f>
        <v>-31354.329354922658</v>
      </c>
      <c r="F15" s="37" t="s">
        <v>3</v>
      </c>
      <c r="G15" s="1"/>
    </row>
    <row r="16" spans="1:7" x14ac:dyDescent="0.45">
      <c r="A16" s="1"/>
      <c r="B16" s="77" t="s">
        <v>20</v>
      </c>
      <c r="C16" s="77"/>
      <c r="D16" s="77"/>
      <c r="E16" s="9">
        <f>SUM(E9:E15)</f>
        <v>1813017.9856405277</v>
      </c>
      <c r="F16" s="41" t="s">
        <v>3</v>
      </c>
      <c r="G16" s="1"/>
    </row>
    <row r="17" spans="1:7" x14ac:dyDescent="0.45">
      <c r="A17" s="1"/>
      <c r="B17" s="78" t="s">
        <v>12</v>
      </c>
      <c r="C17" s="78"/>
      <c r="D17" s="78"/>
      <c r="E17" s="40"/>
      <c r="F17" s="40"/>
      <c r="G17" s="1"/>
    </row>
    <row r="18" spans="1:7" x14ac:dyDescent="0.45">
      <c r="A18" s="1"/>
      <c r="B18" s="79" t="s">
        <v>12</v>
      </c>
      <c r="C18" s="79"/>
      <c r="D18" s="79"/>
      <c r="E18" s="9">
        <v>318532.23435600003</v>
      </c>
      <c r="F18" s="41" t="s">
        <v>3</v>
      </c>
      <c r="G18" s="1"/>
    </row>
    <row r="19" spans="1:7" ht="15.4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45">
      <c r="A20" s="1"/>
      <c r="B20" s="80" t="s">
        <v>39</v>
      </c>
      <c r="C20" s="81"/>
      <c r="D20" s="82"/>
      <c r="E20" s="35">
        <v>0</v>
      </c>
      <c r="F20" s="32" t="s">
        <v>3</v>
      </c>
      <c r="G20" s="1"/>
    </row>
    <row r="21" spans="1:7" x14ac:dyDescent="0.45">
      <c r="A21" s="1"/>
      <c r="B21" s="80" t="s">
        <v>40</v>
      </c>
      <c r="C21" s="81"/>
      <c r="D21" s="82"/>
      <c r="E21" s="35">
        <v>0</v>
      </c>
      <c r="F21" s="32" t="s">
        <v>3</v>
      </c>
      <c r="G21" s="1"/>
    </row>
    <row r="22" spans="1:7" x14ac:dyDescent="0.4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-223499.3778945196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v>0</v>
      </c>
      <c r="F25" s="41" t="s">
        <v>3</v>
      </c>
      <c r="G25" s="1"/>
    </row>
    <row r="26" spans="1:7" ht="15" customHeight="1" x14ac:dyDescent="0.45">
      <c r="A26" s="1"/>
      <c r="B26" s="40" t="s">
        <v>25</v>
      </c>
      <c r="C26" s="40"/>
      <c r="D26" s="40"/>
      <c r="E26" s="10">
        <f>E16+E18+E22+E24+E25</f>
        <v>1908050.8421020082</v>
      </c>
      <c r="F26" s="11" t="s">
        <v>3</v>
      </c>
      <c r="G26" s="1"/>
    </row>
    <row r="27" spans="1:7" ht="27" customHeight="1" x14ac:dyDescent="0.45">
      <c r="A27" s="1"/>
      <c r="B27" s="75" t="s">
        <v>120</v>
      </c>
      <c r="C27" s="75"/>
      <c r="D27" s="75"/>
      <c r="E27" s="75"/>
      <c r="F27" s="75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VCpzMOjhvaVR6wjxWcORSJ7+D6Xz/YpO8NLq5aik0WTUxJWO1nMDtUbBCR9E9exLpoUg12HRHJZCljrdds5ryw==" saltValue="GOTHkPx+Fxy82ErpmqGqsw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1" t="s">
        <v>106</v>
      </c>
      <c r="D9" s="41"/>
      <c r="E9" s="1"/>
      <c r="F9" s="1"/>
    </row>
    <row r="10" spans="1:6" x14ac:dyDescent="0.45">
      <c r="A10" s="1"/>
      <c r="B10" s="28" t="s">
        <v>130</v>
      </c>
      <c r="C10" s="8">
        <v>339419</v>
      </c>
      <c r="D10" s="12" t="s">
        <v>3</v>
      </c>
      <c r="E10" s="1"/>
      <c r="F10" s="1"/>
    </row>
    <row r="11" spans="1:6" x14ac:dyDescent="0.45">
      <c r="A11" s="1"/>
      <c r="B11" s="54" t="s">
        <v>108</v>
      </c>
      <c r="C11" s="10">
        <f>SUM(C10:C10)</f>
        <v>339419</v>
      </c>
      <c r="D11" s="11" t="s">
        <v>3</v>
      </c>
      <c r="E11" s="1"/>
      <c r="F11" s="1"/>
    </row>
    <row r="12" spans="1:6" x14ac:dyDescent="0.45">
      <c r="A12" s="1"/>
      <c r="B12" s="54" t="s">
        <v>109</v>
      </c>
      <c r="C12" s="10">
        <f>C11*(1+'Fane 10. Nøgletal'!C14)^2</f>
        <v>341662.86167291005</v>
      </c>
      <c r="D12" s="11" t="s">
        <v>3</v>
      </c>
      <c r="E12" s="1"/>
      <c r="F12" s="1"/>
    </row>
    <row r="13" spans="1:6" x14ac:dyDescent="0.45">
      <c r="A13" s="1"/>
      <c r="B13" s="14"/>
      <c r="C13" s="13"/>
      <c r="D13" s="13"/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"/>
      <c r="C15" s="1"/>
      <c r="D15" s="1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</sheetData>
  <sheetProtection algorithmName="SHA-512" hashValue="iMc60vdEKIoxcSrA8gF6aEzecUFF9A2UzY3daSWc9kcY3aas1nTFmnCy6xvzVEDVdZIoe37lcl9Rd/seqD5yBQ==" saltValue="yIL2pHjJ0eZeZUfrdMxJ5g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150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36"/>
      <c r="C5" s="36"/>
      <c r="D5" s="36"/>
      <c r="E5" s="36"/>
      <c r="F5" s="36"/>
      <c r="G5" s="1"/>
    </row>
    <row r="6" spans="1:7" ht="15" customHeight="1" x14ac:dyDescent="0.45">
      <c r="A6" s="1"/>
      <c r="B6" s="36"/>
      <c r="C6" s="36"/>
      <c r="D6" s="36"/>
      <c r="E6" s="36"/>
      <c r="F6" s="36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132</v>
      </c>
      <c r="C8" s="89"/>
      <c r="D8" s="89"/>
      <c r="E8" s="89"/>
      <c r="F8" s="90"/>
      <c r="G8" s="1"/>
    </row>
    <row r="9" spans="1:7" x14ac:dyDescent="0.45">
      <c r="A9" s="1"/>
      <c r="B9" s="98" t="s">
        <v>133</v>
      </c>
      <c r="C9" s="99"/>
      <c r="D9" s="100"/>
      <c r="E9" s="8">
        <v>300034.26370652346</v>
      </c>
      <c r="F9" s="12" t="s">
        <v>3</v>
      </c>
      <c r="G9" s="1"/>
    </row>
    <row r="10" spans="1:7" x14ac:dyDescent="0.45">
      <c r="A10" s="1"/>
      <c r="B10" s="98" t="s">
        <v>134</v>
      </c>
      <c r="C10" s="99"/>
      <c r="D10" s="100"/>
      <c r="E10" s="8">
        <v>562231.38383492921</v>
      </c>
      <c r="F10" s="12" t="s">
        <v>3</v>
      </c>
      <c r="G10" s="1"/>
    </row>
    <row r="11" spans="1:7" x14ac:dyDescent="0.45">
      <c r="A11" s="1"/>
      <c r="B11" s="98" t="s">
        <v>135</v>
      </c>
      <c r="C11" s="99"/>
      <c r="D11" s="100"/>
      <c r="E11" s="8">
        <v>537776.06908707204</v>
      </c>
      <c r="F11" s="12" t="s">
        <v>3</v>
      </c>
      <c r="G11" s="1"/>
    </row>
    <row r="12" spans="1:7" x14ac:dyDescent="0.45">
      <c r="A12" s="1"/>
      <c r="B12" s="54"/>
      <c r="C12" s="22"/>
      <c r="D12" s="22"/>
      <c r="E12" s="22"/>
      <c r="F12" s="55"/>
      <c r="G12" s="1"/>
    </row>
    <row r="13" spans="1:7" ht="51.75" customHeight="1" x14ac:dyDescent="0.45">
      <c r="A13" s="1"/>
      <c r="B13" s="101" t="s">
        <v>136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137</v>
      </c>
      <c r="C15" s="89"/>
      <c r="D15" s="89"/>
      <c r="E15" s="89"/>
      <c r="F15" s="90"/>
      <c r="G15" s="1"/>
    </row>
    <row r="16" spans="1:7" x14ac:dyDescent="0.45">
      <c r="A16" s="1"/>
      <c r="B16" s="98" t="s">
        <v>138</v>
      </c>
      <c r="C16" s="99"/>
      <c r="D16" s="100"/>
      <c r="E16" s="8">
        <v>0</v>
      </c>
      <c r="F16" s="12" t="s">
        <v>3</v>
      </c>
      <c r="G16" s="1"/>
    </row>
    <row r="17" spans="1:7" x14ac:dyDescent="0.45">
      <c r="A17" s="1"/>
      <c r="B17" s="98" t="s">
        <v>139</v>
      </c>
      <c r="C17" s="99"/>
      <c r="D17" s="100"/>
      <c r="E17" s="8">
        <v>0</v>
      </c>
      <c r="F17" s="12" t="s">
        <v>3</v>
      </c>
      <c r="G17" s="1"/>
    </row>
    <row r="18" spans="1:7" x14ac:dyDescent="0.45">
      <c r="A18" s="1"/>
      <c r="B18" s="54"/>
      <c r="C18" s="22"/>
      <c r="D18" s="22"/>
      <c r="E18" s="22"/>
      <c r="F18" s="55"/>
      <c r="G18" s="1"/>
    </row>
    <row r="19" spans="1:7" ht="29.25" customHeight="1" x14ac:dyDescent="0.45">
      <c r="A19" s="1"/>
      <c r="B19" s="101" t="s">
        <v>140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5" t="s">
        <v>122</v>
      </c>
      <c r="C21" s="46"/>
      <c r="D21" s="46"/>
      <c r="E21" s="46"/>
      <c r="F21" s="47"/>
      <c r="G21" s="1"/>
    </row>
    <row r="22" spans="1:7" x14ac:dyDescent="0.45">
      <c r="A22" s="1"/>
      <c r="B22" s="48" t="s">
        <v>123</v>
      </c>
      <c r="C22" s="49"/>
      <c r="D22" s="50"/>
      <c r="E22" s="8">
        <v>1955773.7857294078</v>
      </c>
      <c r="F22" s="12" t="s">
        <v>3</v>
      </c>
      <c r="G22" s="1"/>
    </row>
    <row r="23" spans="1:7" x14ac:dyDescent="0.45">
      <c r="A23" s="1"/>
      <c r="B23" s="48" t="s">
        <v>124</v>
      </c>
      <c r="C23" s="49"/>
      <c r="D23" s="50"/>
      <c r="E23" s="8">
        <v>1436853</v>
      </c>
      <c r="F23" s="12" t="s">
        <v>3</v>
      </c>
      <c r="G23" s="1"/>
    </row>
    <row r="24" spans="1:7" x14ac:dyDescent="0.45">
      <c r="A24" s="1"/>
      <c r="B24" s="48" t="s">
        <v>30</v>
      </c>
      <c r="C24" s="49"/>
      <c r="D24" s="50"/>
      <c r="E24" s="8">
        <v>0</v>
      </c>
      <c r="F24" s="12" t="s">
        <v>3</v>
      </c>
      <c r="G24" s="1"/>
    </row>
    <row r="25" spans="1:7" x14ac:dyDescent="0.45">
      <c r="A25" s="1"/>
      <c r="B25" s="42" t="s">
        <v>125</v>
      </c>
      <c r="C25" s="43"/>
      <c r="D25" s="44"/>
      <c r="E25" s="34">
        <f>E22-(E23-E24)</f>
        <v>518920.7857294078</v>
      </c>
      <c r="F25" s="15" t="s">
        <v>3</v>
      </c>
      <c r="G25" s="1"/>
    </row>
    <row r="26" spans="1:7" x14ac:dyDescent="0.45">
      <c r="A26" s="1"/>
      <c r="B26" s="54"/>
      <c r="C26" s="22"/>
      <c r="D26" s="22"/>
      <c r="E26" s="22"/>
      <c r="F26" s="55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141</v>
      </c>
      <c r="C28" s="89"/>
      <c r="D28" s="89"/>
      <c r="E28" s="89"/>
      <c r="F28" s="90"/>
      <c r="G28" s="1"/>
    </row>
    <row r="29" spans="1:7" x14ac:dyDescent="0.45">
      <c r="A29" s="1"/>
      <c r="B29" s="83" t="s">
        <v>142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143</v>
      </c>
      <c r="C32" s="89"/>
      <c r="D32" s="89"/>
      <c r="E32" s="89"/>
      <c r="F32" s="90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4" t="s">
        <v>144</v>
      </c>
      <c r="C35" s="94"/>
      <c r="D35" s="94"/>
      <c r="E35" s="9">
        <f>E33/E34</f>
        <v>0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HaARu7rTg0USIg2XDznhkrDuhU5pQc78ZzJDdPdaJg4/Bx5DKLsRHNBAmvHRVMw5JQcJhNxA9FDD+CNjJpcDWw==" saltValue="mS0uXBhQ1LTvYuQ1ABGW9A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3"/>
      <c r="I9" s="1"/>
    </row>
    <row r="10" spans="1:9" x14ac:dyDescent="0.45">
      <c r="A10" s="1"/>
      <c r="B10" s="56" t="s">
        <v>148</v>
      </c>
      <c r="C10" s="57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QCUz2OE9TJH3M6sWYmJmmUKrtjyV38AlODeTzabA9pUTj0gA02/mVoMDLtKZy+Q/j5xDvyPp3/jkf+kwy6odQA==" saltValue="pFpOAJ458PKGSJ2FEcKwnw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2021-08-29T20:39:46Z</dcterms:modified>
</cp:coreProperties>
</file>