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estforsyning Vand AS (V20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<sst xmlns="http://schemas.openxmlformats.org/spreadsheetml/2006/main" count="507" uniqueCount="253">
  <si>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</si>
  <si>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</si>
  <si>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</si>
  <si>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</si>
  <si>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</si>
  <si>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</si>
  <si>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</si>
  <si>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</si>
  <si>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</si>
  <si>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</si>
  <si>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</si>
  <si>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</si>
  <si>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</si>
  <si>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</si>
  <si>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</si>
  <si>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</si>
  <si>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</si>
  <si>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</si>
  <si>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</si>
  <si>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</si>
  <si>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</si>
  <si>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</si>
  <si>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</si>
  <si>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</si>
  <si>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</si>
  <si>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</si>
  <si>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</si>
  <si>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</si>
  <si>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</si>
  <si>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</si>
  <si>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</si>
  <si>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</si>
  <si>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</si>
  <si>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</si>
  <si>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</si>
  <si>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</si>
  <si>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</si>
  <si>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</si>
  <si>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</si>
  <si>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</si>
  <si>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</si>
  <si>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</si>
  <si>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</si>
  <si>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</si>
  <si>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</si>
  <si>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</si>
  <si>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</si>
  <si>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</si>
  <si>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</si>
  <si>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</si>
  <si>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</si>
  <si>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</si>
  <si>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</si>
  <si>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</si>
  <si>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</si>
  <si>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</si>
  <si>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</si>
  <si>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</si>
  <si>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</si>
  <si>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</si>
  <si>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</si>
  <si>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</si>
  <si>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</si>
  <si>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</si>
  <si>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</si>
  <si>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</si>
  <si>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</si>
  <si>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</si>
  <si>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</si>
  <si>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</si>
  <si>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</si>
  <si>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</si>
  <si>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</si>
  <si>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</si>
  <si>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</si>
  <si>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</si>
  <si>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</si>
  <si>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</si>
  <si>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</si>
  <si>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</si>
  <si>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</si>
  <si>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</si>
  <si>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</si>
  <si>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</si>
  <si>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</si>
  <si>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</si>
  <si>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</si>
  <si>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</si>
  <si>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</si>
  <si>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</si>
  <si>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</si>
  <si>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</si>
  <si>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</si>
  <si>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</si>
  <si>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</si>
  <si>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</si>
  <si>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</si>
  <si>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</si>
  <si>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</si>
  <si>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</si>
  <si>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</si>
  <si>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</si>
  <si>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</si>
  <si>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</si>
  <si>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</si>
  <si>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</si>
  <si>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</si>
  <si>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</si>
  <si>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</si>
  <si>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</si>
  <si>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</si>
  <si>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</si>
  <si>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</si>
  <si>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</si>
  <si>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</si>
  <si>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</si>
  <si>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</si>
  <si>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</si>
  <si>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</si>
  <si>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</si>
  <si>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</si>
  <si>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</si>
  <si>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</si>
  <si>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</si>
  <si>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</si>
  <si>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</si>
  <si>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</si>
  <si>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</si>
  <si>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</si>
  <si>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</si>
  <si>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</si>
  <si>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</si>
  <si>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</si>
  <si>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</si>
  <si>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</si>
  <si>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</si>
  <si>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</si>
  <si>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</si>
  <si>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</si>
  <si>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</si>
  <si>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</si>
  <si>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</si>
  <si>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</si>
  <si>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</si>
  <si>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</si>
  <si>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</si>
  <si>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</si>
  <si>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</si>
  <si>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</si>
  <si>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</si>
  <si>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</si>
  <si>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</si>
  <si>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</si>
  <si>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</si>
  <si>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</si>
  <si>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</si>
  <si>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</si>
  <si>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</si>
  <si>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</si>
  <si>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</si>
  <si>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</si>
  <si>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</si>
  <si>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</si>
  <si>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</si>
  <si>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</si>
  <si>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</si>
  <si>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</si>
  <si>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</si>
  <si>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</si>
  <si>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</si>
  <si>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</si>
  <si>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</si>
  <si>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</si>
  <si>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</si>
  <si>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</si>
  <si>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</si>
  <si>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</si>
  <si>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</si>
  <si>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</si>
  <si>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</si>
  <si>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</si>
  <si>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</si>
  <si>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</si>
  <si>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</si>
  <si>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</si>
  <si>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</si>
  <si>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</si>
  <si>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</si>
  <si>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</si>
  <si>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</si>
  <si>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</si>
  <si>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</si>
  <si>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</si>
  <si>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</si>
  <si>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</si>
  <si>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</si>
  <si>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</si>
  <si>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</si>
  <si>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</si>
  <si>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</si>
  <si>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</si>
  <si>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</si>
  <si>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</si>
  <si>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</si>
  <si>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</si>
  <si>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</si>
  <si>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</si>
  <si>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</si>
  <si>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</si>
  <si>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</si>
  <si>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</si>
  <si>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</si>
  <si>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</si>
  <si>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</si>
  <si>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</si>
  <si>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</si>
  <si>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</si>
  <si>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</si>
  <si>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</si>
  <si>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</si>
  <si>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</si>
  <si>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</si>
  <si>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</si>
  <si>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</si>
  <si>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</si>
  <si>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</si>
  <si>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</si>
  <si>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</si>
  <si>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</si>
  <si>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</si>
  <si>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</si>
  <si>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</si>
  <si>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</si>
  <si>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</si>
  <si>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</si>
  <si>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</si>
  <si>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</si>
  <si>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</si>
  <si>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</si>
  <si>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Nye tillæg</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</si>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</sst>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1" xfId="0"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s9+gkFG4j77zMuiwqVQPz4tJVfSCdEcBsavyx5v2erBpYMlNhnh5UIH/SKeHBPBedZ4tHlXj54GuyzbToTOu0Q==" saltValue="9sAzwR8mionce4scWVjvL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2" t="s">
        <v>30</v>
      </c>
      <c r="C9" s="11" t="s">
        <v>212</v>
      </c>
      <c r="D9" s="11"/>
      <c r="E9" s="1"/>
      <c r="F9" s="1"/>
    </row>
    <row r="10" spans="1:6" x14ac:dyDescent="0.25">
      <c r="A10" s="1"/>
      <c r="B10" s="75" t="s">
        <v>231</v>
      </c>
      <c r="C10" s="9">
        <v>23175468.989999998</v>
      </c>
      <c r="D10" s="14" t="s">
        <v>3</v>
      </c>
      <c r="E10" s="1"/>
      <c r="F10" s="1"/>
    </row>
    <row r="11" spans="1:6" x14ac:dyDescent="0.25">
      <c r="A11" s="1"/>
      <c r="B11" s="75" t="s">
        <v>232</v>
      </c>
      <c r="C11" s="9">
        <v>150875</v>
      </c>
      <c r="D11" s="14" t="s">
        <v>3</v>
      </c>
      <c r="E11" s="1"/>
      <c r="F11" s="1"/>
    </row>
    <row r="12" spans="1:6" x14ac:dyDescent="0.25">
      <c r="A12" s="1"/>
      <c r="B12" s="75" t="s">
        <v>233</v>
      </c>
      <c r="C12" s="9">
        <v>60281.53</v>
      </c>
      <c r="D12" s="14" t="s">
        <v>3</v>
      </c>
      <c r="E12" s="1"/>
      <c r="F12" s="1"/>
    </row>
    <row r="13" spans="1:6" x14ac:dyDescent="0.25">
      <c r="A13" s="1"/>
      <c r="B13" s="67" t="s">
        <v>182</v>
      </c>
      <c r="C13" s="12">
        <f>SUM(C10:C12)</f>
        <v>23386625.52</v>
      </c>
      <c r="D13" s="13" t="s">
        <v>3</v>
      </c>
      <c r="E13" s="1"/>
      <c r="F13" s="1"/>
    </row>
    <row r="14" spans="1:6" x14ac:dyDescent="0.25">
      <c r="A14" s="1"/>
      <c r="B14" s="67" t="s">
        <v>183</v>
      </c>
      <c r="C14" s="12">
        <f>C13*(1+'Fane 13. Nøgletal'!C15)^2</f>
        <v>25081392.530743029</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MmUJ+mIJ3JqvjJrNtUaN9jPDXGbSVsfZWZUmisTzye1gWJ8m7t+/aQK27ZxWg2EKNd19C+XXwm8+0vtIDTGfw==" saltValue="0r3Vw1VAKOc/n/bTb04jU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11925635</v>
      </c>
      <c r="F9" s="14" t="s">
        <v>3</v>
      </c>
      <c r="G9" s="1"/>
    </row>
    <row r="10" spans="1:7" x14ac:dyDescent="0.25">
      <c r="A10" s="1"/>
      <c r="B10" s="140" t="s">
        <v>234</v>
      </c>
      <c r="C10" s="141"/>
      <c r="D10" s="142"/>
      <c r="E10" s="9">
        <v>11925635</v>
      </c>
      <c r="F10" s="50" t="s">
        <v>3</v>
      </c>
      <c r="G10" s="1"/>
    </row>
    <row r="11" spans="1:7" x14ac:dyDescent="0.25">
      <c r="A11" s="1"/>
      <c r="B11" s="125" t="s">
        <v>185</v>
      </c>
      <c r="C11" s="126"/>
      <c r="D11" s="127"/>
      <c r="E11" s="9">
        <v>9919782.92509754</v>
      </c>
      <c r="F11" s="14" t="s">
        <v>3</v>
      </c>
      <c r="G11" s="1"/>
    </row>
    <row r="12" spans="1:7" x14ac:dyDescent="0.25">
      <c r="A12" s="1"/>
      <c r="B12" s="67"/>
      <c r="C12" s="68"/>
      <c r="D12" s="68"/>
      <c r="E12" s="68"/>
      <c r="F12" s="19"/>
      <c r="G12" s="1"/>
    </row>
    <row r="13" spans="1:7" ht="64.900000000000006" customHeight="1" x14ac:dyDescent="0.25">
      <c r="A13" s="1"/>
      <c r="B13" s="111" t="s">
        <v>251</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235</v>
      </c>
      <c r="C16" s="126"/>
      <c r="D16" s="127"/>
      <c r="E16" s="9">
        <v>0</v>
      </c>
      <c r="F16" s="14" t="s">
        <v>3</v>
      </c>
      <c r="G16" s="1"/>
    </row>
    <row r="17" spans="1:7" x14ac:dyDescent="0.25">
      <c r="A17" s="1"/>
      <c r="B17" s="125" t="s">
        <v>236</v>
      </c>
      <c r="C17" s="126"/>
      <c r="D17" s="127"/>
      <c r="E17" s="9">
        <v>0</v>
      </c>
      <c r="F17" s="14" t="s">
        <v>3</v>
      </c>
      <c r="G17" s="1"/>
    </row>
    <row r="18" spans="1:7" x14ac:dyDescent="0.25">
      <c r="A18" s="1"/>
      <c r="B18" s="67"/>
      <c r="C18" s="68"/>
      <c r="D18" s="68"/>
      <c r="E18" s="68"/>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237</v>
      </c>
      <c r="C22" s="73"/>
      <c r="D22" s="74"/>
      <c r="E22" s="9">
        <v>71620028.427654892</v>
      </c>
      <c r="F22" s="14" t="s">
        <v>3</v>
      </c>
      <c r="G22" s="1"/>
    </row>
    <row r="23" spans="1:7" x14ac:dyDescent="0.25">
      <c r="A23" s="1"/>
      <c r="B23" s="72" t="s">
        <v>187</v>
      </c>
      <c r="C23" s="73"/>
      <c r="D23" s="74"/>
      <c r="E23" s="9">
        <v>63360291.719999999</v>
      </c>
      <c r="F23" s="14" t="s">
        <v>3</v>
      </c>
      <c r="G23" s="1"/>
    </row>
    <row r="24" spans="1:7" x14ac:dyDescent="0.25">
      <c r="A24" s="1"/>
      <c r="B24" s="72" t="s">
        <v>31</v>
      </c>
      <c r="C24" s="73"/>
      <c r="D24" s="74"/>
      <c r="E24" s="9">
        <v>0</v>
      </c>
      <c r="F24" s="14" t="s">
        <v>3</v>
      </c>
      <c r="G24" s="1"/>
    </row>
    <row r="25" spans="1:7" x14ac:dyDescent="0.25">
      <c r="A25" s="1"/>
      <c r="B25" s="47" t="s">
        <v>252</v>
      </c>
      <c r="C25" s="48"/>
      <c r="D25" s="49"/>
      <c r="E25" s="53">
        <f>E22-(E23-E24)</f>
        <v>8259736.7076548934</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2" t="s">
        <v>238</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0</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MC1lfgzJZqPLEBAoXnSXE4jZCmSQubzmtdumVEGgTuix8y3newLf27+7UX66yK4KjLS3L3utKUgHPanQsaVaTA==" saltValue="oXf+XY/wIQ5zgsA8INVn7Q=="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243</v>
      </c>
      <c r="C10" s="147"/>
      <c r="D10" s="147"/>
      <c r="E10" s="147"/>
      <c r="F10" s="148"/>
      <c r="G10" s="52">
        <v>0</v>
      </c>
      <c r="H10" s="9" t="s">
        <v>3</v>
      </c>
      <c r="I10" s="1"/>
    </row>
    <row r="11" spans="1:9" x14ac:dyDescent="0.25">
      <c r="A11" s="1"/>
      <c r="B11" s="146" t="s">
        <v>244</v>
      </c>
      <c r="C11" s="147"/>
      <c r="D11" s="147"/>
      <c r="E11" s="147"/>
      <c r="F11" s="148"/>
      <c r="G11" s="52">
        <v>0</v>
      </c>
      <c r="H11" s="9" t="s">
        <v>3</v>
      </c>
      <c r="I11" s="1"/>
    </row>
    <row r="12" spans="1:9" x14ac:dyDescent="0.25">
      <c r="A12" s="1"/>
      <c r="B12" s="146" t="s">
        <v>245</v>
      </c>
      <c r="C12" s="147"/>
      <c r="D12" s="147"/>
      <c r="E12" s="147"/>
      <c r="F12" s="148"/>
      <c r="G12" s="9">
        <v>0</v>
      </c>
      <c r="H12" s="9" t="s">
        <v>3</v>
      </c>
      <c r="I12" s="1"/>
    </row>
    <row r="13" spans="1:9" x14ac:dyDescent="0.25">
      <c r="A13" s="1"/>
      <c r="B13" s="146" t="s">
        <v>246</v>
      </c>
      <c r="C13" s="147"/>
      <c r="D13" s="147"/>
      <c r="E13" s="147"/>
      <c r="F13" s="148"/>
      <c r="G13" s="9">
        <v>0</v>
      </c>
      <c r="H13" s="9" t="s">
        <v>3</v>
      </c>
      <c r="I13" s="1"/>
    </row>
    <row r="14" spans="1:9" x14ac:dyDescent="0.25">
      <c r="A14" s="1"/>
      <c r="B14" s="146" t="s">
        <v>247</v>
      </c>
      <c r="C14" s="147"/>
      <c r="D14" s="147"/>
      <c r="E14" s="147"/>
      <c r="F14" s="148"/>
      <c r="G14" s="9">
        <v>0</v>
      </c>
      <c r="H14" s="9" t="s">
        <v>3</v>
      </c>
      <c r="I14" s="1"/>
    </row>
    <row r="15" spans="1:9" x14ac:dyDescent="0.25">
      <c r="A15" s="1"/>
      <c r="B15" s="146" t="s">
        <v>248</v>
      </c>
      <c r="C15" s="147"/>
      <c r="D15" s="147"/>
      <c r="E15" s="147"/>
      <c r="F15" s="148"/>
      <c r="G15" s="9">
        <v>0</v>
      </c>
      <c r="H15" s="9" t="s">
        <v>3</v>
      </c>
      <c r="I15" s="1"/>
    </row>
    <row r="16" spans="1:9" x14ac:dyDescent="0.25">
      <c r="A16" s="1"/>
      <c r="B16" s="146" t="s">
        <v>249</v>
      </c>
      <c r="C16" s="147"/>
      <c r="D16" s="147"/>
      <c r="E16" s="147"/>
      <c r="F16" s="148"/>
      <c r="G16" s="9">
        <v>0</v>
      </c>
      <c r="H16" s="9" t="s">
        <v>3</v>
      </c>
      <c r="I16" s="1"/>
    </row>
    <row r="17" spans="1:9" x14ac:dyDescent="0.25">
      <c r="A17" s="1"/>
      <c r="B17" s="146" t="s">
        <v>250</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bXgOD4q0qff839MincLL37xatV1VmKapP9/kFuPd3fymYZOFVaGCZQoGbMo9EHynvk2Kg8TGm2iDd6qaisJJvA==" saltValue="jSntPREyJ7/BzbDhmN5Ih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3.4257812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80" t="s">
        <v>0</v>
      </c>
      <c r="C9" s="18" t="s">
        <v>1</v>
      </c>
      <c r="D9" s="149" t="s">
        <v>213</v>
      </c>
      <c r="E9" s="150"/>
      <c r="F9" s="149" t="s">
        <v>2</v>
      </c>
      <c r="G9" s="150"/>
      <c r="H9" s="149" t="s">
        <v>214</v>
      </c>
      <c r="I9" s="150"/>
      <c r="J9" s="149" t="s">
        <v>28</v>
      </c>
      <c r="K9" s="150"/>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UHAFHgFWg7thM/SJFydSCv/8J5VvDZjLG5o32IEkuauv0e83f8rRUABlnsuRoUcO6HBrakP1lqJkTlyxFpv/g==" saltValue="WVBZ2sSPpDqwwX36BAvv8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239</v>
      </c>
      <c r="C11" s="21">
        <v>0</v>
      </c>
      <c r="D11" s="14" t="s">
        <v>3</v>
      </c>
      <c r="E11" s="9">
        <v>0</v>
      </c>
      <c r="F11" s="14" t="s">
        <v>3</v>
      </c>
      <c r="G11" s="1"/>
    </row>
    <row r="12" spans="1:7" x14ac:dyDescent="0.25">
      <c r="A12" s="1"/>
      <c r="B12" s="67" t="s">
        <v>148</v>
      </c>
      <c r="C12" s="12">
        <f>SUM(C10:C11)</f>
        <v>0</v>
      </c>
      <c r="D12" s="13" t="s">
        <v>3</v>
      </c>
      <c r="E12" s="12">
        <f>SUM(E10:E11)</f>
        <v>0</v>
      </c>
      <c r="F12" s="13" t="s">
        <v>3</v>
      </c>
      <c r="G12" s="1"/>
    </row>
    <row r="13" spans="1:7" x14ac:dyDescent="0.25">
      <c r="A13" s="1"/>
      <c r="B13" s="67" t="s">
        <v>188</v>
      </c>
      <c r="C13" s="12">
        <f>C12*(1+'Fane 13. Nøgletal'!C15)</f>
        <v>0</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Mu34DtcPU1DGH/qTQvNAVwc1orqMdBrCvthfKEsjVxoJRV6UIETf5Ptbc8xd4WNCKRQeasyM6YDdv4H0F+tUQ==" saltValue="4yHtJR3261TsPURqJepKp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5" t="s">
        <v>15</v>
      </c>
      <c r="C10" s="65" t="s">
        <v>10</v>
      </c>
      <c r="D10" s="66"/>
      <c r="E10" s="65" t="s">
        <v>29</v>
      </c>
      <c r="F10" s="62"/>
      <c r="G10" s="1"/>
    </row>
    <row r="11" spans="1:7" x14ac:dyDescent="0.25">
      <c r="A11" s="1"/>
      <c r="B11" s="22" t="s">
        <v>240</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GE4fg96zmjPJdX8BsjFq4e21VTyZldA+4oISl5x96b1xjIulN7jDo4BeBTlr/vLLd3RdgFheNb/7HyFdevNLw==" saltValue="hcTgxa9ML4AX0TG2RNkPs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1" t="s">
        <v>113</v>
      </c>
      <c r="C9" s="117" t="s">
        <v>10</v>
      </c>
      <c r="D9" s="119"/>
      <c r="E9" s="117" t="s">
        <v>29</v>
      </c>
      <c r="F9" s="119"/>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GBQ0cSXhlknTWZvHScDtmUXRrxFHfX1XCwusl2ugE322aQ85zRzYdz09gsQQcAFMUqx9fmQYUzKRntoMa6dkQ==" saltValue="N97M8hPknM4I45VQqhU/A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1" t="s">
        <v>16</v>
      </c>
      <c r="C11" s="61" t="s">
        <v>10</v>
      </c>
      <c r="D11" s="62"/>
      <c r="E11" s="61" t="s">
        <v>29</v>
      </c>
      <c r="F11" s="62"/>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DxjufQOZW95eGKrwt0yXZv+1QYFt9pJlCj+lKPW0mshI0VDqLq0z94FmzkW1YvICEil/17jbUbstAYG5uXw7A==" saltValue="MYlxG1f34TrUN5O631vdW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7" t="s">
        <v>225</v>
      </c>
      <c r="C3" s="107"/>
      <c r="D3" s="1"/>
    </row>
    <row r="4" spans="1:4" ht="25.5" customHeight="1" x14ac:dyDescent="0.25">
      <c r="A4" s="1"/>
      <c r="B4" s="107"/>
      <c r="C4" s="107"/>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2"/>
      <c r="C16" s="124"/>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VhV5kNd2pVQbsFdzqFocrupQ0WAeKB1h1mxM96kHsTmsGpOEgFRqsIQv+qrzl6kpTnjzcfE/NdUrDipKM1owkw==" saltValue="BH71psoINVaeod6sFHanR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45351690.122144267</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1614520.1683483359</v>
      </c>
      <c r="D15" s="8" t="s">
        <v>3</v>
      </c>
      <c r="E15" s="1"/>
    </row>
    <row r="16" spans="1:5" ht="17.25" customHeight="1" x14ac:dyDescent="0.25">
      <c r="A16" s="1"/>
      <c r="B16" s="23" t="s">
        <v>9</v>
      </c>
      <c r="C16" s="9">
        <f>-SUM(C8,C9:C15)*'Fane 5. Individuelt eff. krav'!G9</f>
        <v>-939324.20580985211</v>
      </c>
      <c r="D16" s="8" t="s">
        <v>3</v>
      </c>
      <c r="E16" s="1"/>
    </row>
    <row r="17" spans="1:5" ht="17.25" customHeight="1" x14ac:dyDescent="0.25">
      <c r="A17" s="1"/>
      <c r="B17" s="23" t="s">
        <v>23</v>
      </c>
      <c r="C17" s="9">
        <f>-'Fane 4.1. Gen. krav - drift'!G43</f>
        <v>-346472.03665768175</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45680414.048025064</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omk.'!C14</f>
        <v>25081392.530743029</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0</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70761806.578768089</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By4MWEG0pZVok1V7maxGRItCT3eCZK2sb9wdXOAoXFuzTPF/xcDPoQAxH1IW4afIPeQ13LVwFXWYAtaBMmeUQ==" saltValue="gVqtHjdlqA01wzT3fYV2g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45680414.048025064</v>
      </c>
      <c r="D8" s="8" t="s">
        <v>3</v>
      </c>
      <c r="E8" s="1"/>
    </row>
    <row r="9" spans="1:5" ht="15" customHeight="1" x14ac:dyDescent="0.25">
      <c r="A9" s="1"/>
      <c r="B9" s="60" t="s">
        <v>17</v>
      </c>
      <c r="C9" s="9">
        <f>SUM(C8:C8)*'Fane 13. Nøgletal'!C15</f>
        <v>1626222.7401096923</v>
      </c>
      <c r="D9" s="8" t="s">
        <v>3</v>
      </c>
      <c r="E9" s="1"/>
    </row>
    <row r="10" spans="1:5" ht="15" customHeight="1" x14ac:dyDescent="0.25">
      <c r="A10" s="1"/>
      <c r="B10" s="60" t="s">
        <v>9</v>
      </c>
      <c r="C10" s="9">
        <f>-SUM(C8:C9)*'Fane 5. Individuelt eff. krav'!G9</f>
        <v>-946132.73576269508</v>
      </c>
      <c r="D10" s="8" t="s">
        <v>3</v>
      </c>
      <c r="E10" s="1"/>
    </row>
    <row r="11" spans="1:5" ht="15" customHeight="1" x14ac:dyDescent="0.25">
      <c r="A11" s="1"/>
      <c r="B11" s="60" t="s">
        <v>23</v>
      </c>
      <c r="C11" s="9">
        <f>-'Fane 4.1. Gen. krav - drift'!G48</f>
        <v>-351630.31233944133</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46008873.740032621</v>
      </c>
      <c r="D13" s="11" t="s">
        <v>3</v>
      </c>
      <c r="E13" s="1"/>
    </row>
    <row r="14" spans="1:5" x14ac:dyDescent="0.25">
      <c r="A14" s="1"/>
      <c r="B14" s="67" t="s">
        <v>11</v>
      </c>
      <c r="C14" s="68"/>
      <c r="D14" s="19"/>
      <c r="E14" s="1"/>
    </row>
    <row r="15" spans="1:5" ht="15" customHeight="1" x14ac:dyDescent="0.25">
      <c r="A15" s="1"/>
      <c r="B15" s="61" t="s">
        <v>11</v>
      </c>
      <c r="C15" s="10">
        <f>'Fane 6. Ikke-påvirkelige omk.'!C14*(1+'Fane 13. Nøgletal'!C15)</f>
        <v>25974290.104837481</v>
      </c>
      <c r="D15" s="11" t="s">
        <v>3</v>
      </c>
      <c r="E15" s="1"/>
    </row>
    <row r="16" spans="1:5" x14ac:dyDescent="0.25">
      <c r="A16" s="1"/>
      <c r="B16" s="25" t="s">
        <v>128</v>
      </c>
      <c r="C16" s="68"/>
      <c r="D16" s="19"/>
      <c r="E16" s="1"/>
    </row>
    <row r="17" spans="1:5" ht="15" customHeight="1" x14ac:dyDescent="0.25">
      <c r="A17" s="1"/>
      <c r="B17" s="76" t="s">
        <v>129</v>
      </c>
      <c r="C17" s="10">
        <f>'Fane 7. Kontrol af ØR2021'!E31</f>
        <v>0</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71983163.844870105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PNQLX2uuuAISYTbfa95JQvtkN090Yd0h/be0zZamniU5SBD1rDtWtwlpcgtSHjB3bFy+j3Ygo6nrCLDzflWfRg==" saltValue="ENSM2e7AjCQd5KZ6Uk+d7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46008873.740032621</v>
      </c>
      <c r="D8" s="8" t="s">
        <v>3</v>
      </c>
      <c r="E8" s="1"/>
    </row>
    <row r="9" spans="1:5" ht="15" customHeight="1" x14ac:dyDescent="0.25">
      <c r="A9" s="1"/>
      <c r="B9" s="60" t="s">
        <v>17</v>
      </c>
      <c r="C9" s="9">
        <f>SUM(C8:C8)*'Fane 13. Nøgletal'!C15</f>
        <v>1637915.9051451613</v>
      </c>
      <c r="D9" s="8" t="s">
        <v>3</v>
      </c>
      <c r="E9" s="1"/>
    </row>
    <row r="10" spans="1:5" ht="15" customHeight="1" x14ac:dyDescent="0.25">
      <c r="A10" s="1"/>
      <c r="B10" s="60" t="s">
        <v>9</v>
      </c>
      <c r="C10" s="9">
        <f>-SUM(C8:C9)*'Fane 5. Individuelt eff. krav'!G9</f>
        <v>-952935.79290355567</v>
      </c>
      <c r="D10" s="8" t="s">
        <v>3</v>
      </c>
      <c r="E10" s="1"/>
    </row>
    <row r="11" spans="1:5" ht="15" customHeight="1" x14ac:dyDescent="0.25">
      <c r="A11" s="1"/>
      <c r="B11" s="60" t="s">
        <v>23</v>
      </c>
      <c r="C11" s="9">
        <f>-'Fane 4.1. Gen. krav - drift'!G53</f>
        <v>-356865.38442955102</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46336988.467844673</v>
      </c>
      <c r="D13" s="11" t="s">
        <v>3</v>
      </c>
      <c r="E13" s="1"/>
    </row>
    <row r="14" spans="1:5" x14ac:dyDescent="0.25">
      <c r="A14" s="1"/>
      <c r="B14" s="67" t="s">
        <v>11</v>
      </c>
      <c r="C14" s="68"/>
      <c r="D14" s="19"/>
      <c r="E14" s="1"/>
    </row>
    <row r="15" spans="1:5" ht="15" customHeight="1" x14ac:dyDescent="0.25">
      <c r="A15" s="1"/>
      <c r="B15" s="61" t="s">
        <v>11</v>
      </c>
      <c r="C15" s="10">
        <f>'Fane 6. Ikke-påvirkelige omk.'!C14*(1+'Fane 13. Nøgletal'!C15)^2</f>
        <v>26898974.832569696</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73235963.300414369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HVSVzVo/HySLPu9HrueAc+jq0xowsAhAKUvVZ6qqDvl9ou2Wz8WybAuJeH/Z47xu1dJWGFixFubD0QLMcCg4pw==" saltValue="wNo0jimI4PV76m8O0DLCF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46336988.467844673</v>
      </c>
      <c r="D8" s="8" t="s">
        <v>3</v>
      </c>
      <c r="E8" s="1"/>
    </row>
    <row r="9" spans="1:5" ht="15" customHeight="1" x14ac:dyDescent="0.25">
      <c r="A9" s="1"/>
      <c r="B9" s="60" t="s">
        <v>17</v>
      </c>
      <c r="C9" s="9">
        <f>SUM(C8:C8)*'Fane 13. Nøgletal'!C15</f>
        <v>1649596.7894552704</v>
      </c>
      <c r="D9" s="8" t="s">
        <v>3</v>
      </c>
      <c r="E9" s="1"/>
    </row>
    <row r="10" spans="1:5" ht="15" customHeight="1" x14ac:dyDescent="0.25">
      <c r="A10" s="1"/>
      <c r="B10" s="60" t="s">
        <v>9</v>
      </c>
      <c r="C10" s="9">
        <f>-SUM(C8:C9)*'Fane 5. Individuelt eff. krav'!G9</f>
        <v>-959731.70514599886</v>
      </c>
      <c r="D10" s="8" t="s">
        <v>3</v>
      </c>
      <c r="E10" s="1"/>
    </row>
    <row r="11" spans="1:5" ht="15" customHeight="1" x14ac:dyDescent="0.25">
      <c r="A11" s="1"/>
      <c r="B11" s="60" t="s">
        <v>23</v>
      </c>
      <c r="C11" s="9">
        <f>-'Fane 4.1. Gen. krav - drift'!G58</f>
        <v>-362178.39627293817</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46664675.15588101</v>
      </c>
      <c r="D13" s="11" t="s">
        <v>3</v>
      </c>
      <c r="E13" s="1"/>
    </row>
    <row r="14" spans="1:5" x14ac:dyDescent="0.25">
      <c r="A14" s="1"/>
      <c r="B14" s="67" t="s">
        <v>11</v>
      </c>
      <c r="C14" s="68"/>
      <c r="D14" s="19"/>
      <c r="E14" s="1"/>
    </row>
    <row r="15" spans="1:5" ht="15" customHeight="1" x14ac:dyDescent="0.25">
      <c r="A15" s="1"/>
      <c r="B15" s="61" t="s">
        <v>11</v>
      </c>
      <c r="C15" s="10">
        <f>'Fane 6. Ikke-påvirkelige omk.'!C14*(1+'Fane 13. Nøgletal'!C15)^3</f>
        <v>27856578.336609181</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74521253.492490187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B7O0rIeto2YPi7TCaEpV+NpbXzn/L2+z5XjVM1hQ0/HMyycWcH9/FmMOwZ24EvrlCbm4dwPz20ER83RZ5RF+OQ==" saltValue="MZBRgGchHLFw4eN9dFa4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8" t="s">
        <v>22</v>
      </c>
      <c r="C9" s="109"/>
      <c r="D9" s="110"/>
      <c r="E9" s="7">
        <v>46527975.935968854</v>
      </c>
      <c r="F9" s="8" t="s">
        <v>3</v>
      </c>
      <c r="G9" s="1"/>
    </row>
    <row r="10" spans="1:7" ht="15" customHeight="1" x14ac:dyDescent="0.25">
      <c r="A10" s="1"/>
      <c r="B10" s="101" t="s">
        <v>35</v>
      </c>
      <c r="C10" s="102"/>
      <c r="D10" s="103"/>
      <c r="E10" s="9">
        <v>433526.93330000003</v>
      </c>
      <c r="F10" s="8" t="s">
        <v>3</v>
      </c>
      <c r="G10" s="1"/>
    </row>
    <row r="11" spans="1:7" ht="15" customHeight="1" x14ac:dyDescent="0.25">
      <c r="A11" s="1"/>
      <c r="B11" s="101" t="s">
        <v>36</v>
      </c>
      <c r="C11" s="102"/>
      <c r="D11" s="103"/>
      <c r="E11" s="9">
        <v>39577.1751</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569202.54997654003</v>
      </c>
      <c r="F16" s="8" t="s">
        <v>3</v>
      </c>
      <c r="G16" s="30"/>
    </row>
    <row r="17" spans="1:7" x14ac:dyDescent="0.25">
      <c r="A17" s="1"/>
      <c r="B17" s="101" t="s">
        <v>9</v>
      </c>
      <c r="C17" s="102"/>
      <c r="D17" s="103"/>
      <c r="E17" s="9">
        <v>-951405.65188690799</v>
      </c>
      <c r="F17" s="8" t="s">
        <v>3</v>
      </c>
      <c r="G17" s="1"/>
    </row>
    <row r="18" spans="1:7" x14ac:dyDescent="0.25">
      <c r="A18" s="1"/>
      <c r="B18" s="101" t="s">
        <v>23</v>
      </c>
      <c r="C18" s="102"/>
      <c r="D18" s="103"/>
      <c r="E18" s="9">
        <v>-341389.43081175623</v>
      </c>
      <c r="F18" s="8" t="s">
        <v>3</v>
      </c>
      <c r="G18" s="1"/>
    </row>
    <row r="19" spans="1:7" x14ac:dyDescent="0.25">
      <c r="A19" s="1"/>
      <c r="B19" s="101" t="s">
        <v>24</v>
      </c>
      <c r="C19" s="102"/>
      <c r="D19" s="103"/>
      <c r="E19" s="9">
        <v>-925797.3895024634</v>
      </c>
      <c r="F19" s="8" t="s">
        <v>3</v>
      </c>
      <c r="G19" s="1"/>
    </row>
    <row r="20" spans="1:7" x14ac:dyDescent="0.25">
      <c r="A20" s="1"/>
      <c r="B20" s="114" t="s">
        <v>19</v>
      </c>
      <c r="C20" s="115"/>
      <c r="D20" s="116"/>
      <c r="E20" s="31">
        <f>SUM(E9:E19)</f>
        <v>45351690.122144267</v>
      </c>
      <c r="F20" s="33" t="s">
        <v>3</v>
      </c>
      <c r="G20" s="1"/>
    </row>
    <row r="21" spans="1:7" x14ac:dyDescent="0.25">
      <c r="A21" s="1"/>
      <c r="B21" s="67" t="s">
        <v>11</v>
      </c>
      <c r="C21" s="68"/>
      <c r="D21" s="68"/>
      <c r="E21" s="68"/>
      <c r="F21" s="19"/>
      <c r="G21" s="1"/>
    </row>
    <row r="22" spans="1:7" x14ac:dyDescent="0.25">
      <c r="A22" s="1"/>
      <c r="B22" s="104" t="s">
        <v>11</v>
      </c>
      <c r="C22" s="105"/>
      <c r="D22" s="106"/>
      <c r="E22" s="10">
        <v>21504464.996629152</v>
      </c>
      <c r="F22" s="11" t="s">
        <v>3</v>
      </c>
      <c r="G22" s="1"/>
    </row>
    <row r="23" spans="1:7" ht="15" customHeight="1" x14ac:dyDescent="0.25">
      <c r="A23" s="1"/>
      <c r="B23" s="120" t="s">
        <v>80</v>
      </c>
      <c r="C23" s="121"/>
      <c r="D23" s="121"/>
      <c r="E23" s="68"/>
      <c r="F23" s="68"/>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7" t="s">
        <v>128</v>
      </c>
      <c r="C27" s="68"/>
      <c r="D27" s="68"/>
      <c r="E27" s="68"/>
      <c r="F27" s="19"/>
      <c r="G27" s="1"/>
    </row>
    <row r="28" spans="1:7" ht="15" customHeight="1" x14ac:dyDescent="0.25">
      <c r="A28" s="1"/>
      <c r="B28" s="117" t="s">
        <v>129</v>
      </c>
      <c r="C28" s="118"/>
      <c r="D28" s="119"/>
      <c r="E28" s="10">
        <v>0</v>
      </c>
      <c r="F28" s="11" t="s">
        <v>3</v>
      </c>
      <c r="G28" s="1"/>
    </row>
    <row r="29" spans="1:7" x14ac:dyDescent="0.25">
      <c r="A29" s="1"/>
      <c r="B29" s="67" t="s">
        <v>159</v>
      </c>
      <c r="C29" s="68"/>
      <c r="D29" s="68"/>
      <c r="E29" s="68"/>
      <c r="F29" s="19"/>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66856155.118773416</v>
      </c>
      <c r="F33" s="13"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92wDtvvN1NfZOxRKI/IAQ5uoIHZ7okgWskuYzqL0HxqTht1N91caglYtXHHqDn06uJsff/wuXW2t5dbW1JcPg==" saltValue="Owxu2kKpTw1SXqExpFdbR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4">
        <v>17150785.6974953</v>
      </c>
      <c r="H5" s="14" t="s">
        <v>3</v>
      </c>
      <c r="I5" s="1"/>
    </row>
    <row r="6" spans="1:9" x14ac:dyDescent="0.25">
      <c r="A6" s="1"/>
      <c r="B6" s="125" t="s">
        <v>39</v>
      </c>
      <c r="C6" s="126"/>
      <c r="D6" s="126"/>
      <c r="E6" s="126"/>
      <c r="F6" s="127"/>
      <c r="G6" s="54">
        <f>G5*'Fane 13. Nøgletal'!C31</f>
        <v>343015.713949906</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4">
        <f>(G5-G6)*(1+'Fane 13. Nøgletal'!C9)</f>
        <v>17021228.662336417</v>
      </c>
      <c r="H10" s="14" t="s">
        <v>3</v>
      </c>
      <c r="I10" s="1"/>
    </row>
    <row r="11" spans="1:9" x14ac:dyDescent="0.25">
      <c r="A11" s="1"/>
      <c r="B11" s="129" t="s">
        <v>41</v>
      </c>
      <c r="C11" s="130"/>
      <c r="D11" s="130"/>
      <c r="E11" s="130"/>
      <c r="F11" s="131"/>
      <c r="G11" s="54">
        <v>0</v>
      </c>
      <c r="H11" s="14" t="s">
        <v>3</v>
      </c>
      <c r="I11" s="1"/>
    </row>
    <row r="12" spans="1:9" x14ac:dyDescent="0.25">
      <c r="A12" s="1"/>
      <c r="B12" s="125" t="s">
        <v>42</v>
      </c>
      <c r="C12" s="126"/>
      <c r="D12" s="126"/>
      <c r="E12" s="126"/>
      <c r="F12" s="127"/>
      <c r="G12" s="54">
        <f>(G10+G11)*'Fane 13. Nøgletal'!C31</f>
        <v>340424.57324672834</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4">
        <f>(G10+G11-G12)*(1+'Fane 13. Nøgletal'!C11)</f>
        <v>16962709.678195301</v>
      </c>
      <c r="H16" s="14" t="s">
        <v>3</v>
      </c>
      <c r="I16" s="1"/>
    </row>
    <row r="17" spans="1:9" x14ac:dyDescent="0.25">
      <c r="A17" s="1"/>
      <c r="B17" s="125" t="s">
        <v>108</v>
      </c>
      <c r="C17" s="126"/>
      <c r="D17" s="126"/>
      <c r="E17" s="126"/>
      <c r="F17" s="127"/>
      <c r="G17" s="54">
        <v>1005.6439229046014</v>
      </c>
      <c r="H17" s="14" t="s">
        <v>3</v>
      </c>
      <c r="I17" s="1"/>
    </row>
    <row r="18" spans="1:9" x14ac:dyDescent="0.25">
      <c r="A18" s="1"/>
      <c r="B18" s="129" t="s">
        <v>44</v>
      </c>
      <c r="C18" s="130"/>
      <c r="D18" s="130"/>
      <c r="E18" s="130"/>
      <c r="F18" s="131"/>
      <c r="G18" s="54">
        <v>0</v>
      </c>
      <c r="H18" s="14" t="s">
        <v>3</v>
      </c>
      <c r="I18" s="1"/>
    </row>
    <row r="19" spans="1:9" x14ac:dyDescent="0.25">
      <c r="A19" s="1"/>
      <c r="B19" s="125" t="s">
        <v>45</v>
      </c>
      <c r="C19" s="126"/>
      <c r="D19" s="126"/>
      <c r="E19" s="126"/>
      <c r="F19" s="127"/>
      <c r="G19" s="54">
        <f>SUM(G16:G18)*'Fane 13. Nøgletal'!C31</f>
        <v>339274.30644236418</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4">
        <f>(SUM(G16:G18)-G19)*(1+'Fane 13. Nøgletal'!C11)</f>
        <v>16905394.068840764</v>
      </c>
      <c r="H23" s="14" t="s">
        <v>3</v>
      </c>
      <c r="I23" s="1"/>
    </row>
    <row r="24" spans="1:9" x14ac:dyDescent="0.25">
      <c r="A24" s="1"/>
      <c r="B24" s="129" t="s">
        <v>47</v>
      </c>
      <c r="C24" s="130"/>
      <c r="D24" s="130"/>
      <c r="E24" s="130"/>
      <c r="F24" s="131"/>
      <c r="G24" s="54">
        <v>0</v>
      </c>
      <c r="H24" s="14" t="s">
        <v>3</v>
      </c>
      <c r="I24" s="1"/>
    </row>
    <row r="25" spans="1:9" x14ac:dyDescent="0.25">
      <c r="A25" s="1"/>
      <c r="B25" s="125" t="s">
        <v>48</v>
      </c>
      <c r="C25" s="126"/>
      <c r="D25" s="126"/>
      <c r="E25" s="126"/>
      <c r="F25" s="127"/>
      <c r="G25" s="54">
        <f>(G23+G24)*'Fane 13. Nøgletal'!C31</f>
        <v>338107.88137681532</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4">
        <f>(G23+G24-G25)*(1+'Fane 13. Nøgletal'!C13)</f>
        <v>16769407.078951009</v>
      </c>
      <c r="H29" s="14" t="s">
        <v>3</v>
      </c>
      <c r="I29" s="1"/>
    </row>
    <row r="30" spans="1:9" x14ac:dyDescent="0.25">
      <c r="A30" s="1"/>
      <c r="B30" s="125" t="s">
        <v>121</v>
      </c>
      <c r="C30" s="126"/>
      <c r="D30" s="126"/>
      <c r="E30" s="126"/>
      <c r="F30" s="127"/>
      <c r="G30" s="54">
        <v>0</v>
      </c>
      <c r="H30" s="14" t="s">
        <v>3</v>
      </c>
      <c r="I30" s="1"/>
    </row>
    <row r="31" spans="1:9" x14ac:dyDescent="0.25">
      <c r="A31" s="1"/>
      <c r="B31" s="125" t="s">
        <v>126</v>
      </c>
      <c r="C31" s="126"/>
      <c r="D31" s="126"/>
      <c r="E31" s="126"/>
      <c r="F31" s="127"/>
      <c r="G31" s="54">
        <f>(G29+G30)*'Fane 13. Nøgletal'!C31</f>
        <v>335388.14157902019</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4">
        <f>(G29+G30-G31)*(1+'Fane 13. Nøgletal'!C13)</f>
        <v>16634513.968407925</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434957.57217989006</v>
      </c>
      <c r="H36" s="14" t="s">
        <v>3</v>
      </c>
      <c r="I36" s="1"/>
    </row>
    <row r="37" spans="1:9" x14ac:dyDescent="0.25">
      <c r="A37" s="1"/>
      <c r="B37" s="125" t="s">
        <v>134</v>
      </c>
      <c r="C37" s="126"/>
      <c r="D37" s="126"/>
      <c r="E37" s="126"/>
      <c r="F37" s="127"/>
      <c r="G37" s="54">
        <f>(G35+G36)*'Fane 13. Nøgletal'!C31</f>
        <v>341389.43081175635</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4">
        <f>(G35+G36-G37)*(1+'Fane 13. Nøgletal'!C15)</f>
        <v>17323601.832884088</v>
      </c>
      <c r="H41" s="14" t="s">
        <v>3</v>
      </c>
      <c r="I41" s="1"/>
    </row>
    <row r="42" spans="1:9" x14ac:dyDescent="0.25">
      <c r="A42" s="1"/>
      <c r="B42" s="125" t="s">
        <v>197</v>
      </c>
      <c r="C42" s="126"/>
      <c r="D42" s="126"/>
      <c r="E42" s="126"/>
      <c r="F42" s="127"/>
      <c r="G42" s="54">
        <f>('Fane 2.1. Økonomisk ramme 2023'!C9+'Fane 2.1. Økonomisk ramme 2023'!C11+'Fane 2.1. Økonomisk ramme 2023'!C13)*(1+'Fane 13. Nøgletal'!C15)</f>
        <v>0</v>
      </c>
      <c r="H42" s="14" t="s">
        <v>3</v>
      </c>
      <c r="I42" s="1"/>
    </row>
    <row r="43" spans="1:9" x14ac:dyDescent="0.25">
      <c r="A43" s="1"/>
      <c r="B43" s="125" t="s">
        <v>208</v>
      </c>
      <c r="C43" s="126"/>
      <c r="D43" s="126"/>
      <c r="E43" s="126"/>
      <c r="F43" s="127"/>
      <c r="G43" s="54">
        <f>(G41+G42)*'Fane 13. Nøgletal'!C31</f>
        <v>346472.03665768175</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4">
        <f>(G41+G42-G43)*(1+'Fane 13. Nøgletal'!C15)</f>
        <v>17581515.616972066</v>
      </c>
      <c r="H47" s="14" t="s">
        <v>3</v>
      </c>
      <c r="I47" s="1"/>
    </row>
    <row r="48" spans="1:9" x14ac:dyDescent="0.25">
      <c r="A48" s="1"/>
      <c r="B48" s="125" t="s">
        <v>209</v>
      </c>
      <c r="C48" s="126"/>
      <c r="D48" s="126"/>
      <c r="E48" s="126"/>
      <c r="F48" s="127"/>
      <c r="G48" s="54">
        <f>(G47)*'Fane 13. Nøgletal'!C31</f>
        <v>351630.31233944133</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4">
        <f>(G47-G48)*(1+'Fane 13. Nøgletal'!C15)</f>
        <v>17843269.22147755</v>
      </c>
      <c r="H52" s="14" t="s">
        <v>3</v>
      </c>
      <c r="I52" s="1"/>
    </row>
    <row r="53" spans="1:9" x14ac:dyDescent="0.25">
      <c r="A53" s="1"/>
      <c r="B53" s="125" t="s">
        <v>147</v>
      </c>
      <c r="C53" s="126"/>
      <c r="D53" s="126"/>
      <c r="E53" s="126"/>
      <c r="F53" s="127"/>
      <c r="G53" s="54">
        <f>(G52)*'Fane 13. Nøgletal'!C31</f>
        <v>356865.38442955102</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4">
        <f>(G52-G53)*(1+'Fane 13. Nøgletal'!C15)</f>
        <v>18108919.813646909</v>
      </c>
      <c r="H57" s="14" t="s">
        <v>3</v>
      </c>
      <c r="I57" s="1"/>
    </row>
    <row r="58" spans="1:9" x14ac:dyDescent="0.25">
      <c r="A58" s="1"/>
      <c r="B58" s="125" t="s">
        <v>176</v>
      </c>
      <c r="C58" s="126"/>
      <c r="D58" s="126"/>
      <c r="E58" s="126"/>
      <c r="F58" s="127"/>
      <c r="G58" s="54">
        <f>(G57)*'Fane 13. Nøgletal'!C31</f>
        <v>362178.39627293817</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d/vTSUOoW+YwrqL9fOH81u5FELlRLEBFXpl+trc3YifKWKUfr1Ran/ygSEcIh5mhsavk7R7evAAVv1z6vFt3hQ==" saltValue="Oqm3IFv7x3Nc4ccrFJP6Mg=="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85546875" style="2" customWidth="1"/>
    <col min="2" max="5" width="9" style="2"/>
    <col min="6" max="6" width="25.42578125" style="2" customWidth="1"/>
    <col min="7" max="7" width="10.28515625" style="2" customWidth="1"/>
    <col min="8" max="8" width="2.85546875" style="2" bestFit="1" customWidth="1"/>
    <col min="9" max="9" width="4.8554687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4">
        <v>32551882.067763634</v>
      </c>
      <c r="H5" s="14" t="s">
        <v>3</v>
      </c>
      <c r="I5" s="1"/>
    </row>
    <row r="6" spans="1:9" x14ac:dyDescent="0.25">
      <c r="A6" s="1"/>
      <c r="B6" s="125" t="s">
        <v>54</v>
      </c>
      <c r="C6" s="126"/>
      <c r="D6" s="126"/>
      <c r="E6" s="126"/>
      <c r="F6" s="127"/>
      <c r="G6" s="54">
        <f>G5*'Fane 13. Nøgletal'!C20</f>
        <v>296222.12681664911</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4">
        <f>(G5-G6)*(1+'Fane 13. Nøgletal'!C9)</f>
        <v>32665306.822197009</v>
      </c>
      <c r="H10" s="14" t="s">
        <v>3</v>
      </c>
      <c r="I10" s="1"/>
    </row>
    <row r="11" spans="1:9" x14ac:dyDescent="0.25">
      <c r="A11" s="1"/>
      <c r="B11" s="129" t="s">
        <v>59</v>
      </c>
      <c r="C11" s="130"/>
      <c r="D11" s="130"/>
      <c r="E11" s="130"/>
      <c r="F11" s="131"/>
      <c r="G11" s="59">
        <v>0</v>
      </c>
      <c r="H11" s="14" t="s">
        <v>3</v>
      </c>
      <c r="I11" s="1"/>
    </row>
    <row r="12" spans="1:9" x14ac:dyDescent="0.25">
      <c r="A12" s="1"/>
      <c r="B12" s="125" t="s">
        <v>60</v>
      </c>
      <c r="C12" s="126"/>
      <c r="D12" s="126"/>
      <c r="E12" s="126"/>
      <c r="F12" s="127"/>
      <c r="G12" s="54">
        <f>G10*'Fane 13. Nøgletal'!C20+G11*'Fane 13. Nøgletal'!C21</f>
        <v>297254.29208199278</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4">
        <f>(G10+G11-G12)*(1+'Fane 13. Nøgletal'!C11)</f>
        <v>32915072.617873956</v>
      </c>
      <c r="H16" s="14" t="s">
        <v>3</v>
      </c>
      <c r="I16" s="1"/>
    </row>
    <row r="17" spans="1:9" x14ac:dyDescent="0.25">
      <c r="A17" s="1"/>
      <c r="B17" s="125" t="s">
        <v>109</v>
      </c>
      <c r="C17" s="126"/>
      <c r="D17" s="126"/>
      <c r="E17" s="126"/>
      <c r="F17" s="127"/>
      <c r="G17" s="54">
        <v>91950.449277061372</v>
      </c>
      <c r="H17" s="14" t="s">
        <v>3</v>
      </c>
      <c r="I17" s="1"/>
    </row>
    <row r="18" spans="1:9" x14ac:dyDescent="0.25">
      <c r="A18" s="1"/>
      <c r="B18" s="129" t="s">
        <v>63</v>
      </c>
      <c r="C18" s="130"/>
      <c r="D18" s="130"/>
      <c r="E18" s="130"/>
      <c r="F18" s="131"/>
      <c r="G18" s="54">
        <v>4858.1341957799987</v>
      </c>
      <c r="H18" s="14" t="s">
        <v>3</v>
      </c>
      <c r="I18" s="1"/>
    </row>
    <row r="19" spans="1:9" x14ac:dyDescent="0.25">
      <c r="A19" s="1"/>
      <c r="B19" s="125" t="s">
        <v>64</v>
      </c>
      <c r="C19" s="126"/>
      <c r="D19" s="126"/>
      <c r="E19" s="126"/>
      <c r="F19" s="127"/>
      <c r="G19" s="54">
        <f>(G16+G17+G18)*'Fane 13. Nøgletal'!C22</f>
        <v>287203.3664517171</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4">
        <f>(SUM(G16:G18)-G19)*(1+'Fane 13. Nøgletal'!C11)</f>
        <v>33277724.890304804</v>
      </c>
      <c r="H23" s="14" t="s">
        <v>3</v>
      </c>
      <c r="I23" s="1"/>
    </row>
    <row r="24" spans="1:9" x14ac:dyDescent="0.25">
      <c r="A24" s="1"/>
      <c r="B24" s="129" t="s">
        <v>67</v>
      </c>
      <c r="C24" s="130"/>
      <c r="D24" s="130"/>
      <c r="E24" s="130"/>
      <c r="F24" s="131"/>
      <c r="G24" s="54">
        <v>17979.823291483353</v>
      </c>
      <c r="H24" s="14" t="s">
        <v>3</v>
      </c>
      <c r="I24" s="1"/>
    </row>
    <row r="25" spans="1:9" x14ac:dyDescent="0.25">
      <c r="A25" s="1"/>
      <c r="B25" s="125" t="s">
        <v>68</v>
      </c>
      <c r="C25" s="126"/>
      <c r="D25" s="126"/>
      <c r="E25" s="126"/>
      <c r="F25" s="127"/>
      <c r="G25" s="54">
        <f>G23*'Fane 13. Nøgletal'!C22+G24*'Fane 13. Nøgletal'!C23</f>
        <v>290026.8335271299</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4">
        <f>(G23+G24-G25)*(1+'Fane 13. Nøgletal'!C13)</f>
        <v>33408347.150206003</v>
      </c>
      <c r="H29" s="14" t="s">
        <v>3</v>
      </c>
      <c r="I29" s="1"/>
    </row>
    <row r="30" spans="1:9" x14ac:dyDescent="0.25">
      <c r="A30" s="1"/>
      <c r="B30" s="125" t="s">
        <v>123</v>
      </c>
      <c r="C30" s="126"/>
      <c r="D30" s="126"/>
      <c r="E30" s="126"/>
      <c r="F30" s="127"/>
      <c r="G30" s="54">
        <v>770038.61355791998</v>
      </c>
      <c r="H30" s="14" t="s">
        <v>3</v>
      </c>
      <c r="I30" s="1"/>
    </row>
    <row r="31" spans="1:9" x14ac:dyDescent="0.25">
      <c r="A31" s="1"/>
      <c r="B31" s="125" t="s">
        <v>131</v>
      </c>
      <c r="C31" s="126"/>
      <c r="D31" s="126"/>
      <c r="E31" s="126"/>
      <c r="F31" s="127"/>
      <c r="G31" s="54">
        <f>(G29+G30)*'Fane 13. Nøgletal'!C24</f>
        <v>939905.60850350803</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4">
        <f>(G29+G30-G31)*(1+'Fane 13. Nøgletal'!C13)</f>
        <v>33643989.613154598</v>
      </c>
      <c r="H35" s="14" t="s">
        <v>3</v>
      </c>
      <c r="I35" s="1"/>
    </row>
    <row r="36" spans="1:9" x14ac:dyDescent="0.25">
      <c r="A36" s="1"/>
      <c r="B36" s="125" t="s">
        <v>141</v>
      </c>
      <c r="C36" s="126"/>
      <c r="D36" s="126"/>
      <c r="E36" s="126"/>
      <c r="F36" s="127"/>
      <c r="G36" s="54">
        <f>SUM('Fane 3. Omkostninger i ØR2022'!E11)*(1+'Fane 13. Nøgletal'!C14)</f>
        <v>39707.779777830001</v>
      </c>
      <c r="H36" s="14" t="s">
        <v>3</v>
      </c>
      <c r="I36" s="1"/>
    </row>
    <row r="37" spans="1:9" x14ac:dyDescent="0.25">
      <c r="A37" s="1"/>
      <c r="B37" s="125" t="s">
        <v>136</v>
      </c>
      <c r="C37" s="126"/>
      <c r="D37" s="126"/>
      <c r="E37" s="126"/>
      <c r="F37" s="127"/>
      <c r="G37" s="54">
        <f>G35*'Fane 13. Nøgletal'!C24+G36*'Fane 13. Nøgletal'!C25</f>
        <v>925797.38950246328</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4">
        <f>(G35+G36-G37)*(1+'Fane 13. Nøgletal'!C15)</f>
        <v>33924081.243552074</v>
      </c>
      <c r="H41" s="14" t="s">
        <v>3</v>
      </c>
      <c r="I41" s="1"/>
    </row>
    <row r="42" spans="1:9" x14ac:dyDescent="0.25">
      <c r="A42" s="1"/>
      <c r="B42" s="125" t="s">
        <v>211</v>
      </c>
      <c r="C42" s="126"/>
      <c r="D42" s="126"/>
      <c r="E42" s="126"/>
      <c r="F42" s="127"/>
      <c r="G42" s="59">
        <f>SUM('Fane 2.1. Økonomisk ramme 2023'!C10+'Fane 2.1. Økonomisk ramme 2023'!C12+'Fane 2.1. Økonomisk ramme 2023'!C14)*(1+'Fane 13. Nøgletal'!C15)</f>
        <v>0</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4">
        <f>(G41+G42-G43)*(1+'Fane 13. Nøgletal'!C15)</f>
        <v>35131778.535822533</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4">
        <f>(G47-G48)*(1+'Fane 13. Nøgletal'!C15)</f>
        <v>36382469.851697817</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4">
        <f>(G52-G53)*(1+'Fane 13. Nøgletal'!C15)</f>
        <v>37677685.778418265</v>
      </c>
      <c r="H57" s="14" t="s">
        <v>3</v>
      </c>
      <c r="I57" s="1"/>
    </row>
    <row r="58" spans="1:9" x14ac:dyDescent="0.25">
      <c r="A58" s="1"/>
      <c r="B58" s="125" t="s">
        <v>179</v>
      </c>
      <c r="C58" s="126"/>
      <c r="D58" s="126"/>
      <c r="E58" s="126"/>
      <c r="F58" s="127"/>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12OAmGLKKN+QCAEh+S9NKN6LfYhH6GJAav6JgDW7ma8JWQL+KVQ2Etd99TRzNaVwaQYv0vum/Xy2tD0BgAOJJw==" saltValue="SQlYk59Nl+PIz24hg1EBew=="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2" t="s">
        <v>180</v>
      </c>
      <c r="C9" s="73"/>
      <c r="D9" s="73"/>
      <c r="E9" s="73"/>
      <c r="F9" s="74"/>
      <c r="G9" s="28">
        <v>0.02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6Tjbst9aQ7G2JXlsTz1v0BxeguwLmo1f3wGki4/oLal/Fpby0ixeqxCHNAS48t2GQOo8+pX+u9y3OYhaHbo7Yw==" saltValue="jMRUkVjPEv6VKuDC3wMOb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2022-12-01T09:28:30Z</dcterms:modified>
</cp:coreProperties>
</file>