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NØ VAND AS (V04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<sst xmlns="http://schemas.openxmlformats.org/spreadsheetml/2006/main" count="406" uniqueCount="154">
  <si>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</si>
  <si>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</si>
  <si>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</si>
  <si>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</si>
  <si>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</si>
  <si>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</si>
  <si>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</si>
  <si>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</si>
  <si>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</si>
  <si>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</si>
  <si>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</si>
  <si>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</si>
  <si>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</si>
  <si>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</si>
  <si>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</si>
  <si>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</si>
  <si>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</si>
  <si>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</si>
  <si>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</si>
  <si>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</si>
  <si>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</si>
  <si>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</si>
  <si>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</si>
  <si>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</si>
  <si>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</si>
  <si>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</si>
  <si>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</si>
  <si>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</si>
  <si>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</si>
  <si>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</si>
  <si>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</si>
  <si>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</si>
  <si>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</si>
  <si>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</si>
  <si>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</si>
  <si>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</si>
  <si>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</si>
  <si>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</si>
  <si>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</si>
  <si>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</si>
  <si>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</si>
  <si>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</si>
  <si>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</si>
  <si>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</si>
  <si>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</si>
  <si>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</si>
  <si>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</si>
  <si>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</si>
  <si>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</si>
  <si>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</si>
  <si>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</si>
  <si>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</si>
  <si>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</si>
  <si>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</si>
  <si>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</si>
  <si>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</si>
  <si>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</si>
  <si>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</si>
  <si>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</si>
  <si>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</si>
  <si>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</si>
  <si>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</si>
  <si>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</si>
  <si>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</si>
  <si>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</si>
  <si>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</si>
  <si>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</si>
  <si>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</si>
  <si>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</si>
  <si>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</si>
  <si>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</si>
  <si>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</si>
  <si>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</si>
  <si>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</si>
  <si>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</si>
  <si>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</si>
  <si>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</si>
  <si>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</si>
  <si>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</si>
  <si>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</si>
  <si>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</si>
  <si>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</si>
  <si>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</si>
  <si>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</si>
  <si>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</si>
  <si>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</si>
  <si>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</si>
  <si>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</si>
  <si>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</si>
  <si>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</si>
  <si>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</si>
  <si>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</si>
  <si>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</si>
  <si>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</si>
  <si>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</si>
  <si>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</si>
  <si>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</si>
  <si>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</si>
  <si>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</si>
  <si>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</si>
  <si>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</si>
  <si>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</si>
  <si>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</si>
  <si>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</si>
  <si>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</si>
  <si>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</si>
  <si>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</si>
  <si>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</si>
  <si>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</si>
  <si>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</si>
  <si>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</si>
  <si>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</si>
  <si>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</si>
  <si>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</si>
  <si>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</si>
  <si>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</si>
  <si>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</si>
  <si>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</si>
  <si>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</si>
  <si>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</si>
  <si>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</si>
  <si>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</si>
  <si>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</si>
  <si>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</si>
  <si>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</si>
  <si>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</si>
  <si>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</si>
  <si>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</si>
  <si>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</si>
  <si>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engangstillæg</t>
  </si>
  <si>
    <t>Udvidelse af forsyningsområde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</si>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</sst>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2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2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V/JgjWPoBVTwxHwjg6FsmMxmEOtbA/9RNf6EmRKrJvBa1EdK9InzS6cDHyZn0xQKQOpswfvfZ8fhWCqxx8Iqw==" saltValue="Os28FDKTxApiPkcmlzByZ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8" t="s">
        <v>130</v>
      </c>
      <c r="C11" s="19">
        <v>27343</v>
      </c>
      <c r="D11" s="12" t="s">
        <v>3</v>
      </c>
      <c r="E11" s="8">
        <v>2634</v>
      </c>
      <c r="F11" s="12" t="s">
        <v>3</v>
      </c>
      <c r="G11" s="1"/>
    </row>
    <row r="12" spans="1:7" x14ac:dyDescent="0.25">
      <c r="A12" s="1"/>
      <c r="B12" s="54" t="s">
        <v>69</v>
      </c>
      <c r="C12" s="10">
        <f>SUM(C10:C11)</f>
        <v>27343</v>
      </c>
      <c r="D12" s="11" t="s">
        <v>3</v>
      </c>
      <c r="E12" s="10">
        <f>SUM(E10:E11)</f>
        <v>2634</v>
      </c>
      <c r="F12" s="11" t="s">
        <v>3</v>
      </c>
      <c r="G12" s="1"/>
    </row>
    <row r="13" spans="1:7" x14ac:dyDescent="0.25">
      <c r="A13" s="1"/>
      <c r="B13" s="54" t="s">
        <v>110</v>
      </c>
      <c r="C13" s="10">
        <f>C12*(1+'Fane 10. Nøgletal'!C14)</f>
        <v>27433.231900000002</v>
      </c>
      <c r="D13" s="11" t="s">
        <v>3</v>
      </c>
      <c r="E13" s="10">
        <f>E12*(1+'Fane 10. Nøgletal'!C14)</f>
        <v>2642.6922000000004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u/4f7rfmw0BV3+xEOBL38g/s/dmFHxv9+TZd1qW3veWXLSpXJ2EOo06S8hDppuu6HPqz4Sby6KlQ/8TJTVMAQ==" saltValue="GmqRq8VxDlyNuhCALH41y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129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129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129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129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k1+S+nx1/w84ctsYDdAhkInwf5gQbBIHntrgf0rwnoAR/GMNgwLsdLaLeesg+fLgI/fSoaOWnqHd3r2Vvag5Q==" saltValue="63as7D3gwABAoHBUBALvJ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131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/pnfHDl926jtcLcU11DBKDfZ53mctKbLtM2zsxzEyffAVZWkN6N9+a2BOK9ecnZ0lvbPXofyXQJ4P+efUSr0g==" saltValue="4CrfwryNNO9JfR9LqR9A3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yb4zSCcUaw/qvjQPH9ubA1Xa8U1OdTIXmcMv2oZxn8jwLOsM9f5Bb5+ayVopj9QdY4izvv98vzoe/f0Xmr5Og==" saltValue="4oin3NFT2Mq5DuHY5u6Nx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6" t="s">
        <v>93</v>
      </c>
      <c r="C3" s="76"/>
      <c r="D3" s="1"/>
    </row>
    <row r="4" spans="1:4" ht="25.5" customHeight="1" x14ac:dyDescent="0.25">
      <c r="A4" s="1"/>
      <c r="B4" s="76"/>
      <c r="C4" s="7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CaR3Gi8HrzWltZ8icjHIdIRO3HmPbNJl4ieaPALOqjv1O8M/5HA6E2X8xS3CXbvgnTHeu9kf4ttGdVcLOsxCqg==" saltValue="xPlkX8UJFKfXo2vAsckf7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37" t="s">
        <v>24</v>
      </c>
      <c r="C9" s="37"/>
      <c r="D9" s="37"/>
      <c r="E9" s="7">
        <f>'Fane 3. Omkostninger i ØR2021'!E16</f>
        <v>4562643.0595702687</v>
      </c>
      <c r="F9" s="37" t="s">
        <v>3</v>
      </c>
      <c r="G9" s="1"/>
    </row>
    <row r="10" spans="1:7" ht="17.100000000000001" customHeight="1" x14ac:dyDescent="0.2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25">
      <c r="A11" s="1"/>
      <c r="B11" s="29" t="s">
        <v>60</v>
      </c>
      <c r="C11" s="37"/>
      <c r="D11" s="37"/>
      <c r="E11" s="7">
        <f>'Fane 7.1. Varige tillæg'!C13+'Fane 7.1. Varige tillæg'!E13</f>
        <v>30075.924100000004</v>
      </c>
      <c r="F11" s="37" t="s">
        <v>3</v>
      </c>
      <c r="G11" s="1"/>
    </row>
    <row r="12" spans="1:7" ht="17.100000000000001" customHeight="1" x14ac:dyDescent="0.2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2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25">
      <c r="A14" s="1"/>
      <c r="B14" s="29" t="s">
        <v>18</v>
      </c>
      <c r="C14" s="37"/>
      <c r="D14" s="37"/>
      <c r="E14" s="8">
        <f>E9*'Fane 10. Nøgletal'!C13+SUM(E11:E13)*'Fane 10. Nøgletal'!C14</f>
        <v>55763.495876287285</v>
      </c>
      <c r="F14" s="37" t="s">
        <v>3</v>
      </c>
      <c r="G14" s="1"/>
    </row>
    <row r="15" spans="1:7" ht="17.100000000000001" customHeight="1" x14ac:dyDescent="0.25">
      <c r="A15" s="1"/>
      <c r="B15" s="29" t="s">
        <v>54</v>
      </c>
      <c r="C15" s="37"/>
      <c r="D15" s="37"/>
      <c r="E15" s="8">
        <f>-SUM(E9,E11:E14)*'Fane 10. Nøgletal'!C19</f>
        <v>-79024.202152291458</v>
      </c>
      <c r="F15" s="37" t="s">
        <v>3</v>
      </c>
      <c r="G15" s="1"/>
    </row>
    <row r="16" spans="1:7" ht="15" customHeight="1" x14ac:dyDescent="0.25">
      <c r="A16" s="1"/>
      <c r="B16" s="48" t="s">
        <v>20</v>
      </c>
      <c r="C16" s="39"/>
      <c r="D16" s="39"/>
      <c r="E16" s="9">
        <f>SUM(E9,E11:E15)</f>
        <v>4569458.2773942649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omk.'!C14</f>
        <v>1228392.4343392502</v>
      </c>
      <c r="F18" s="41" t="s">
        <v>3</v>
      </c>
      <c r="G18" s="1"/>
    </row>
    <row r="19" spans="1:7" ht="15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2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25">
      <c r="A22" s="1"/>
      <c r="B22" s="48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48" t="s">
        <v>31</v>
      </c>
      <c r="C24" s="39"/>
      <c r="D24" s="39"/>
      <c r="E24" s="9">
        <v>148165.54333333333</v>
      </c>
      <c r="F24" s="41" t="s">
        <v>3</v>
      </c>
      <c r="G24" s="1"/>
    </row>
    <row r="25" spans="1:7" x14ac:dyDescent="0.25">
      <c r="A25" s="1"/>
      <c r="B25" s="48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25">
      <c r="A26" s="1"/>
      <c r="B26" s="40" t="s">
        <v>149</v>
      </c>
      <c r="C26" s="40"/>
      <c r="D26" s="40"/>
      <c r="E26" s="40"/>
      <c r="F26" s="40"/>
      <c r="G26" s="1"/>
    </row>
    <row r="27" spans="1:7" x14ac:dyDescent="0.25">
      <c r="A27" s="1"/>
      <c r="B27" s="41" t="s">
        <v>150</v>
      </c>
      <c r="C27" s="41"/>
      <c r="D27" s="41"/>
      <c r="E27" s="9">
        <v>0</v>
      </c>
      <c r="F27" s="41" t="s">
        <v>3</v>
      </c>
      <c r="G27" s="1"/>
    </row>
    <row r="28" spans="1:7" x14ac:dyDescent="0.25">
      <c r="A28" s="1"/>
      <c r="B28" s="40" t="s">
        <v>26</v>
      </c>
      <c r="C28" s="40"/>
      <c r="D28" s="40"/>
      <c r="E28" s="10">
        <f>SUM(E16,E18,E22,E24,E25,E27)</f>
        <v>5946016.2550668484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sheetProtection algorithmName="SHA-512" hashValue="HUsDUUJSEZo2jHf1uX2+fGOYWOb9kf04DBZUI/dGFppSkzLAeeCB2nMV/2+CWd7RAWmSmISnyLY/MCc0tPUFRA==" saltValue="AmVonJqV2Bo3LRk8V5iGr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25">
      <c r="A9" s="1"/>
      <c r="B9" s="37" t="s">
        <v>66</v>
      </c>
      <c r="C9" s="37"/>
      <c r="D9" s="37"/>
      <c r="E9" s="7">
        <f>'Fane 2.1. Økonomisk ramme 2022'!E16</f>
        <v>4569458.2773942649</v>
      </c>
      <c r="F9" s="37" t="s">
        <v>3</v>
      </c>
      <c r="G9" s="1"/>
    </row>
    <row r="10" spans="1:7" ht="15" customHeight="1" x14ac:dyDescent="0.2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25">
      <c r="A11" s="1"/>
      <c r="B11" s="38" t="s">
        <v>18</v>
      </c>
      <c r="C11" s="37"/>
      <c r="D11" s="37"/>
      <c r="E11" s="8">
        <f>SUM(E9:E10)*'Fane 10. Nøgletal'!C14</f>
        <v>15079.212315401075</v>
      </c>
      <c r="F11" s="37" t="s">
        <v>3</v>
      </c>
      <c r="G11" s="1"/>
    </row>
    <row r="12" spans="1:7" ht="15" customHeight="1" x14ac:dyDescent="0.25">
      <c r="A12" s="1"/>
      <c r="B12" s="38" t="s">
        <v>54</v>
      </c>
      <c r="C12" s="37"/>
      <c r="D12" s="37"/>
      <c r="E12" s="8">
        <f>-SUM(E9:E11)*'Fane 10. Nøgletal'!C19</f>
        <v>-77937.137325064323</v>
      </c>
      <c r="F12" s="37" t="s">
        <v>3</v>
      </c>
      <c r="G12" s="1"/>
    </row>
    <row r="13" spans="1:7" ht="15" customHeight="1" x14ac:dyDescent="0.25">
      <c r="A13" s="1"/>
      <c r="B13" s="39" t="s">
        <v>20</v>
      </c>
      <c r="C13" s="39"/>
      <c r="D13" s="39"/>
      <c r="E13" s="9">
        <f>SUM(E9:E12)</f>
        <v>4506600.3523846017</v>
      </c>
      <c r="F13" s="41" t="s">
        <v>3</v>
      </c>
      <c r="G13" s="1"/>
    </row>
    <row r="14" spans="1:7" x14ac:dyDescent="0.2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25">
      <c r="A15" s="1"/>
      <c r="B15" s="41" t="s">
        <v>12</v>
      </c>
      <c r="C15" s="41"/>
      <c r="D15" s="41"/>
      <c r="E15" s="9">
        <f>'Fane 4. Ikke-påvirkelige omk.'!C14*(1+'Fane 10. Nøgletal'!C14)</f>
        <v>1232446.1293725697</v>
      </c>
      <c r="F15" s="41" t="s">
        <v>3</v>
      </c>
      <c r="G15" s="1"/>
    </row>
    <row r="16" spans="1:7" ht="15" customHeight="1" x14ac:dyDescent="0.2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2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2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25">
      <c r="A19" s="1"/>
      <c r="B19" s="48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25">
      <c r="A20" s="1"/>
      <c r="B20" s="40" t="s">
        <v>85</v>
      </c>
      <c r="C20" s="40"/>
      <c r="D20" s="40"/>
      <c r="E20" s="40"/>
      <c r="F20" s="40"/>
      <c r="G20" s="1"/>
    </row>
    <row r="21" spans="1:7" x14ac:dyDescent="0.25">
      <c r="A21" s="1"/>
      <c r="B21" s="41" t="s">
        <v>151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25">
      <c r="A22" s="1"/>
      <c r="B22" s="40" t="s">
        <v>47</v>
      </c>
      <c r="C22" s="40"/>
      <c r="D22" s="40"/>
      <c r="E22" s="10">
        <f>SUM(E13,E15,E19,E21)</f>
        <v>5739046.4817571715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B47" s="1"/>
      <c r="C47" s="1"/>
      <c r="D47" s="1"/>
      <c r="E47" s="1"/>
      <c r="F47" s="1"/>
    </row>
    <row r="48" spans="1:7" x14ac:dyDescent="0.25">
      <c r="B48" s="1"/>
      <c r="C48" s="1"/>
      <c r="D48" s="1"/>
      <c r="E48" s="1"/>
      <c r="F48" s="1"/>
    </row>
  </sheetData>
  <sheetProtection algorithmName="SHA-512" hashValue="EFnt2UoNrDAFBrZhMH1q3KZltFfGo19GckXRcaSJVR9PEjeuS9H3iMyMZNEXCq3QU9wE2JyEj94Q7xHJDf+VNw==" saltValue="VToltfjhYx1oM5QsFKmMD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7" t="s">
        <v>67</v>
      </c>
      <c r="C8" s="37"/>
      <c r="D8" s="37"/>
      <c r="E8" s="7">
        <f>'Fane 2.2. Økonomisk ramme 2023'!E13</f>
        <v>4506600.3523846017</v>
      </c>
      <c r="F8" s="37" t="s">
        <v>3</v>
      </c>
      <c r="G8" s="1"/>
    </row>
    <row r="9" spans="1:7" ht="15" customHeight="1" x14ac:dyDescent="0.2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Nøgletal'!C14</f>
        <v>14871.781162869185</v>
      </c>
      <c r="F10" s="37" t="s">
        <v>3</v>
      </c>
      <c r="G10" s="1"/>
    </row>
    <row r="11" spans="1:7" ht="15" customHeight="1" x14ac:dyDescent="0.25">
      <c r="A11" s="1"/>
      <c r="B11" s="38" t="s">
        <v>54</v>
      </c>
      <c r="C11" s="37"/>
      <c r="D11" s="37"/>
      <c r="E11" s="8">
        <f>-SUM(E8:E10)*'Fane 10. Nøgletal'!C19</f>
        <v>-76865.026270307004</v>
      </c>
      <c r="F11" s="37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4444607.1072771642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Nøgletal'!C14)^2</f>
        <v>1236513.2015994994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2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25">
      <c r="A18" s="1"/>
      <c r="B18" s="48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68</v>
      </c>
      <c r="C21" s="40"/>
      <c r="D21" s="40"/>
      <c r="E21" s="10">
        <f>SUM(E12,E14,E18,E20)</f>
        <v>5681120.3088766634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6AGpRisbrseUsJ2zTSJHqz/N37sBIdEcpX6hv86vPKh//R1nIocIjmXwxPAhLpOhA4Wk87bMoxBRaatRuCe6yg==" saltValue="VFj+jsv7B4RXbeZY95vsp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7" t="s">
        <v>103</v>
      </c>
      <c r="C8" s="37"/>
      <c r="D8" s="37"/>
      <c r="E8" s="7">
        <f>'Fane 2.3. Økonomisk ramme 2024'!E12</f>
        <v>4444607.1072771642</v>
      </c>
      <c r="F8" s="37" t="s">
        <v>3</v>
      </c>
      <c r="G8" s="1"/>
    </row>
    <row r="9" spans="1:7" ht="15" customHeight="1" x14ac:dyDescent="0.2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Nøgletal'!C14</f>
        <v>14667.203454014641</v>
      </c>
      <c r="F10" s="37" t="s">
        <v>3</v>
      </c>
      <c r="G10" s="1"/>
    </row>
    <row r="11" spans="1:7" ht="15" customHeight="1" x14ac:dyDescent="0.25">
      <c r="A11" s="1"/>
      <c r="B11" s="38" t="s">
        <v>54</v>
      </c>
      <c r="C11" s="37"/>
      <c r="D11" s="37"/>
      <c r="E11" s="8">
        <f>-SUM(E8:E10)*'Fane 10. Nøgletal'!C19</f>
        <v>-75807.663282430047</v>
      </c>
      <c r="F11" s="37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4383466.6474487493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Nøgletal'!C14)^3</f>
        <v>1240593.6951647778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2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25">
      <c r="A18" s="1"/>
      <c r="B18" s="48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104</v>
      </c>
      <c r="C21" s="40"/>
      <c r="D21" s="40"/>
      <c r="E21" s="10">
        <f>SUM(E12,E14,E18,E20)</f>
        <v>5624060.3426135276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B50" s="1"/>
      <c r="C50" s="1"/>
      <c r="D50" s="1"/>
      <c r="E50" s="1"/>
      <c r="F50" s="1"/>
    </row>
    <row r="51" spans="1:7" x14ac:dyDescent="0.25">
      <c r="B51" s="1"/>
      <c r="C51" s="1"/>
      <c r="D51" s="1"/>
      <c r="E51" s="1"/>
      <c r="F51" s="1"/>
    </row>
  </sheetData>
  <sheetProtection algorithmName="SHA-512" hashValue="vQP5dCn0miAOpyjAB9w4SqdJNYSFK9lJFmFxjTEPqRHFDjKNdUrq1SWVRcFTFJZ5Ct8UoSz/92XoIwaD/1W8lQ==" saltValue="UbOdbjuAW3zpuXK8XNp8x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126</v>
      </c>
      <c r="C8" s="40"/>
      <c r="D8" s="40"/>
      <c r="E8" s="40"/>
      <c r="F8" s="40"/>
      <c r="G8" s="1"/>
    </row>
    <row r="9" spans="1:7" x14ac:dyDescent="0.25">
      <c r="A9" s="1"/>
      <c r="B9" s="77" t="s">
        <v>23</v>
      </c>
      <c r="C9" s="77"/>
      <c r="D9" s="77"/>
      <c r="E9" s="7">
        <v>4577911.6128015928</v>
      </c>
      <c r="F9" s="37" t="s">
        <v>3</v>
      </c>
      <c r="G9" s="1"/>
    </row>
    <row r="10" spans="1:7" x14ac:dyDescent="0.25">
      <c r="A10" s="1"/>
      <c r="B10" s="78" t="s">
        <v>128</v>
      </c>
      <c r="C10" s="78"/>
      <c r="D10" s="78"/>
      <c r="E10" s="7">
        <v>7693.4053365003801</v>
      </c>
      <c r="F10" s="37" t="s">
        <v>3</v>
      </c>
      <c r="G10" s="1"/>
    </row>
    <row r="11" spans="1:7" x14ac:dyDescent="0.25">
      <c r="A11" s="1"/>
      <c r="B11" s="78" t="s">
        <v>60</v>
      </c>
      <c r="C11" s="78"/>
      <c r="D11" s="78"/>
      <c r="E11" s="7">
        <v>0</v>
      </c>
      <c r="F11" s="37" t="s">
        <v>3</v>
      </c>
      <c r="G11" s="1"/>
    </row>
    <row r="12" spans="1:7" x14ac:dyDescent="0.25">
      <c r="A12" s="1"/>
      <c r="B12" s="78" t="s">
        <v>65</v>
      </c>
      <c r="C12" s="78"/>
      <c r="D12" s="78"/>
      <c r="E12" s="7">
        <v>0</v>
      </c>
      <c r="F12" s="37" t="s">
        <v>3</v>
      </c>
      <c r="G12" s="1"/>
    </row>
    <row r="13" spans="1:7" x14ac:dyDescent="0.25">
      <c r="A13" s="1"/>
      <c r="B13" s="78" t="s">
        <v>61</v>
      </c>
      <c r="C13" s="78"/>
      <c r="D13" s="78"/>
      <c r="E13" s="8">
        <v>0</v>
      </c>
      <c r="F13" s="37" t="s">
        <v>3</v>
      </c>
      <c r="G13" s="1"/>
    </row>
    <row r="14" spans="1:7" x14ac:dyDescent="0.25">
      <c r="A14" s="1"/>
      <c r="B14" s="78" t="s">
        <v>18</v>
      </c>
      <c r="C14" s="78"/>
      <c r="D14" s="78"/>
      <c r="E14" s="8">
        <f>SUM(E9:E13)*'Fane 10. Nøgletal'!C13</f>
        <v>55944.381221284741</v>
      </c>
      <c r="F14" s="37" t="s">
        <v>3</v>
      </c>
      <c r="G14" s="1"/>
    </row>
    <row r="15" spans="1:7" x14ac:dyDescent="0.25">
      <c r="A15" s="1"/>
      <c r="B15" s="78" t="s">
        <v>54</v>
      </c>
      <c r="C15" s="78"/>
      <c r="D15" s="78"/>
      <c r="E15" s="8">
        <f>-SUM(E9:E14)*'Fane 10. Nøgletal'!C19</f>
        <v>-78906.339789109436</v>
      </c>
      <c r="F15" s="37" t="s">
        <v>3</v>
      </c>
      <c r="G15" s="1"/>
    </row>
    <row r="16" spans="1:7" x14ac:dyDescent="0.25">
      <c r="A16" s="1"/>
      <c r="B16" s="80" t="s">
        <v>20</v>
      </c>
      <c r="C16" s="80"/>
      <c r="D16" s="80"/>
      <c r="E16" s="9">
        <f>SUM(E9:E15)</f>
        <v>4562643.0595702687</v>
      </c>
      <c r="F16" s="41" t="s">
        <v>3</v>
      </c>
      <c r="G16" s="1"/>
    </row>
    <row r="17" spans="1:7" x14ac:dyDescent="0.25">
      <c r="A17" s="1"/>
      <c r="B17" s="81" t="s">
        <v>12</v>
      </c>
      <c r="C17" s="81"/>
      <c r="D17" s="81"/>
      <c r="E17" s="40"/>
      <c r="F17" s="40"/>
      <c r="G17" s="1"/>
    </row>
    <row r="18" spans="1:7" x14ac:dyDescent="0.25">
      <c r="A18" s="1"/>
      <c r="B18" s="82" t="s">
        <v>12</v>
      </c>
      <c r="C18" s="82"/>
      <c r="D18" s="82"/>
      <c r="E18" s="9">
        <v>1188587.3056747201</v>
      </c>
      <c r="F18" s="41" t="s">
        <v>3</v>
      </c>
      <c r="G18" s="1"/>
    </row>
    <row r="19" spans="1:7" ht="15.4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25">
      <c r="A20" s="1"/>
      <c r="B20" s="83" t="s">
        <v>39</v>
      </c>
      <c r="C20" s="84"/>
      <c r="D20" s="85"/>
      <c r="E20" s="35">
        <v>0</v>
      </c>
      <c r="F20" s="32" t="s">
        <v>3</v>
      </c>
      <c r="G20" s="1"/>
    </row>
    <row r="21" spans="1:7" x14ac:dyDescent="0.25">
      <c r="A21" s="1"/>
      <c r="B21" s="83" t="s">
        <v>40</v>
      </c>
      <c r="C21" s="84"/>
      <c r="D21" s="85"/>
      <c r="E21" s="35">
        <v>0</v>
      </c>
      <c r="F21" s="32" t="s">
        <v>3</v>
      </c>
      <c r="G21" s="1"/>
    </row>
    <row r="22" spans="1:7" x14ac:dyDescent="0.2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48" t="s">
        <v>31</v>
      </c>
      <c r="C24" s="39"/>
      <c r="D24" s="39"/>
      <c r="E24" s="9">
        <v>148165.54333333333</v>
      </c>
      <c r="F24" s="41" t="s">
        <v>3</v>
      </c>
      <c r="G24" s="1"/>
    </row>
    <row r="25" spans="1:7" x14ac:dyDescent="0.25">
      <c r="A25" s="1"/>
      <c r="B25" s="48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25">
      <c r="A26" s="1"/>
      <c r="B26" s="40" t="s">
        <v>25</v>
      </c>
      <c r="C26" s="40"/>
      <c r="D26" s="40"/>
      <c r="E26" s="10">
        <f>E16+E18+E22+E24+E25</f>
        <v>5899395.9085783213</v>
      </c>
      <c r="F26" s="11" t="s">
        <v>3</v>
      </c>
      <c r="G26" s="1"/>
    </row>
    <row r="27" spans="1:7" ht="27" customHeight="1" x14ac:dyDescent="0.25">
      <c r="A27" s="1"/>
      <c r="B27" s="79" t="s">
        <v>120</v>
      </c>
      <c r="C27" s="79"/>
      <c r="D27" s="79"/>
      <c r="E27" s="79"/>
      <c r="F27" s="7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nD/y0EFOLVE+MqDWB7f/XoOOPZqDYNnvy+hnQuWFABrvKOPU81v/85k9NUoZc1MwVdYiCEoYbeiCa9B5XgeS4g==" saltValue="V2Dt2uDIKKpFDyFW41fjk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1" t="s">
        <v>106</v>
      </c>
      <c r="D9" s="41"/>
      <c r="E9" s="1"/>
      <c r="F9" s="1"/>
    </row>
    <row r="10" spans="1:6" x14ac:dyDescent="0.25">
      <c r="A10" s="1"/>
      <c r="B10" s="28" t="s">
        <v>132</v>
      </c>
      <c r="C10" s="8">
        <v>1198910</v>
      </c>
      <c r="D10" s="12" t="s">
        <v>3</v>
      </c>
      <c r="E10" s="1"/>
      <c r="F10" s="1"/>
    </row>
    <row r="11" spans="1:6" x14ac:dyDescent="0.25">
      <c r="A11" s="1"/>
      <c r="B11" s="28" t="s">
        <v>133</v>
      </c>
      <c r="C11" s="8">
        <v>1590</v>
      </c>
      <c r="D11" s="12" t="s">
        <v>3</v>
      </c>
      <c r="E11" s="1"/>
      <c r="F11" s="1"/>
    </row>
    <row r="12" spans="1:6" x14ac:dyDescent="0.25">
      <c r="A12" s="1"/>
      <c r="B12" s="28" t="s">
        <v>134</v>
      </c>
      <c r="C12" s="8">
        <v>19825</v>
      </c>
      <c r="D12" s="12" t="s">
        <v>3</v>
      </c>
      <c r="E12" s="1"/>
      <c r="F12" s="1"/>
    </row>
    <row r="13" spans="1:6" x14ac:dyDescent="0.25">
      <c r="A13" s="1"/>
      <c r="B13" s="54" t="s">
        <v>108</v>
      </c>
      <c r="C13" s="10">
        <f>SUM(C10:C12)</f>
        <v>1220325</v>
      </c>
      <c r="D13" s="11" t="s">
        <v>3</v>
      </c>
      <c r="E13" s="1"/>
      <c r="F13" s="1"/>
    </row>
    <row r="14" spans="1:6" x14ac:dyDescent="0.25">
      <c r="A14" s="1"/>
      <c r="B14" s="54" t="s">
        <v>109</v>
      </c>
      <c r="C14" s="10">
        <f>C13*(1+'Fane 10. Nøgletal'!C14)^2</f>
        <v>1228392.4343392502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JN+9ohrhv+jM4NsnlGxUauoivC3OyJUwRo/+P/G4uEXjZvg2rJjXMMV4YGV2WmE8+gfvW1vbCM2AsTgDx8aIQ==" saltValue="7ZBwrvkri+r2qqpxxkz9o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153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36"/>
      <c r="C6" s="36"/>
      <c r="D6" s="36"/>
      <c r="E6" s="36"/>
      <c r="F6" s="3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136</v>
      </c>
      <c r="C8" s="90"/>
      <c r="D8" s="90"/>
      <c r="E8" s="90"/>
      <c r="F8" s="91"/>
      <c r="G8" s="1"/>
    </row>
    <row r="9" spans="1:7" x14ac:dyDescent="0.25">
      <c r="A9" s="1"/>
      <c r="B9" s="99" t="s">
        <v>137</v>
      </c>
      <c r="C9" s="100"/>
      <c r="D9" s="101"/>
      <c r="E9" s="8">
        <v>198427.74104639981</v>
      </c>
      <c r="F9" s="12" t="s">
        <v>3</v>
      </c>
      <c r="G9" s="1"/>
    </row>
    <row r="10" spans="1:7" x14ac:dyDescent="0.25">
      <c r="A10" s="1"/>
      <c r="B10" s="99" t="s">
        <v>138</v>
      </c>
      <c r="C10" s="100"/>
      <c r="D10" s="101"/>
      <c r="E10" s="8">
        <v>240691.22732237726</v>
      </c>
      <c r="F10" s="12" t="s">
        <v>3</v>
      </c>
      <c r="G10" s="1"/>
    </row>
    <row r="11" spans="1:7" x14ac:dyDescent="0.25">
      <c r="A11" s="1"/>
      <c r="B11" s="99" t="s">
        <v>139</v>
      </c>
      <c r="C11" s="100"/>
      <c r="D11" s="101"/>
      <c r="E11" s="8">
        <v>399019.49541823287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2" t="s">
        <v>140</v>
      </c>
      <c r="C13" s="103"/>
      <c r="D13" s="103"/>
      <c r="E13" s="103"/>
      <c r="F13" s="104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141</v>
      </c>
      <c r="C15" s="90"/>
      <c r="D15" s="90"/>
      <c r="E15" s="90"/>
      <c r="F15" s="91"/>
      <c r="G15" s="1"/>
    </row>
    <row r="16" spans="1:7" x14ac:dyDescent="0.25">
      <c r="A16" s="1"/>
      <c r="B16" s="99" t="s">
        <v>142</v>
      </c>
      <c r="C16" s="100"/>
      <c r="D16" s="101"/>
      <c r="E16" s="8">
        <v>0</v>
      </c>
      <c r="F16" s="12" t="s">
        <v>3</v>
      </c>
      <c r="G16" s="1"/>
    </row>
    <row r="17" spans="1:7" x14ac:dyDescent="0.25">
      <c r="A17" s="1"/>
      <c r="B17" s="99" t="s">
        <v>143</v>
      </c>
      <c r="C17" s="100"/>
      <c r="D17" s="101"/>
      <c r="E17" s="8">
        <v>0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2" t="s">
        <v>144</v>
      </c>
      <c r="C19" s="103"/>
      <c r="D19" s="103"/>
      <c r="E19" s="103"/>
      <c r="F19" s="104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9" t="s">
        <v>123</v>
      </c>
      <c r="C22" s="50"/>
      <c r="D22" s="51"/>
      <c r="E22" s="8">
        <v>5701163.3389049564</v>
      </c>
      <c r="F22" s="12" t="s">
        <v>3</v>
      </c>
      <c r="G22" s="1"/>
    </row>
    <row r="23" spans="1:7" x14ac:dyDescent="0.25">
      <c r="A23" s="1"/>
      <c r="B23" s="49" t="s">
        <v>124</v>
      </c>
      <c r="C23" s="50"/>
      <c r="D23" s="51"/>
      <c r="E23" s="8">
        <v>6160590</v>
      </c>
      <c r="F23" s="12" t="s">
        <v>3</v>
      </c>
      <c r="G23" s="1"/>
    </row>
    <row r="24" spans="1:7" x14ac:dyDescent="0.2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25">
      <c r="A25" s="1"/>
      <c r="B25" s="42" t="s">
        <v>125</v>
      </c>
      <c r="C25" s="43"/>
      <c r="D25" s="44"/>
      <c r="E25" s="34">
        <f>E22-(E23-E24)</f>
        <v>-459426.66109504364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145</v>
      </c>
      <c r="C28" s="90"/>
      <c r="D28" s="90"/>
      <c r="E28" s="90"/>
      <c r="F28" s="91"/>
      <c r="G28" s="1"/>
    </row>
    <row r="29" spans="1:7" x14ac:dyDescent="0.25">
      <c r="A29" s="1"/>
      <c r="B29" s="86" t="s">
        <v>146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147</v>
      </c>
      <c r="C32" s="90"/>
      <c r="D32" s="90"/>
      <c r="E32" s="90"/>
      <c r="F32" s="91"/>
      <c r="G32" s="1"/>
    </row>
    <row r="33" spans="1:7" x14ac:dyDescent="0.2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25">
      <c r="A35" s="1"/>
      <c r="B35" s="98" t="s">
        <v>148</v>
      </c>
      <c r="C35" s="98"/>
      <c r="D35" s="98"/>
      <c r="E35" s="9">
        <f>E33/E34</f>
        <v>0</v>
      </c>
      <c r="F35" s="15" t="s">
        <v>3</v>
      </c>
      <c r="G35" s="1"/>
    </row>
    <row r="36" spans="1:7" x14ac:dyDescent="0.25">
      <c r="A36" s="1"/>
      <c r="B36" s="92"/>
      <c r="C36" s="93"/>
      <c r="D36" s="93"/>
      <c r="E36" s="93"/>
      <c r="F36" s="94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2w5qNj5K4tBR8Jhaiw6ZXdk/gGFJgeRdyQqmAuoFBYItdj1H5LXVmPKiZxijoZ37ZPuqcAejbSjhGQI0F/WAQ==" saltValue="/YKKSgTes+2fj67Fy+Y/o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25">
      <c r="A10" s="1"/>
      <c r="B10" s="56" t="s">
        <v>152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CM9YzgHBRTn3Gsb4XGSFGnead9UeyXD2HqKPe8XV6nZu7buS5Y+SZ7Ci6C4A7aQLqHnMoj3aJAl3K+4DtddWQ==" saltValue="FsbMlNKBi6vupVD2sq7aJ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2021-09-07T12:19:49Z</dcterms:modified>
</cp:coreProperties>
</file>