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avrskov Spildevand AS (S01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4"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<sst xmlns="http://schemas.openxmlformats.org/spreadsheetml/2006/main" count="607" uniqueCount="289">
  <si>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</si>
  <si>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</si>
  <si>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</si>
  <si>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</si>
  <si>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</si>
  <si>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</si>
  <si>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</si>
  <si>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</si>
  <si>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</si>
  <si>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</si>
  <si>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</si>
  <si>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</si>
  <si>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</si>
  <si>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</si>
  <si>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</si>
  <si>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</si>
  <si>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</si>
  <si>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</si>
  <si>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</si>
  <si>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</si>
  <si>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</si>
  <si>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</si>
  <si>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</si>
  <si>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</si>
  <si>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</si>
  <si>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</si>
  <si>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</si>
  <si>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</si>
  <si>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</si>
  <si>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</si>
  <si>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</si>
  <si>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</si>
  <si>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</si>
  <si>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</si>
  <si>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</si>
  <si>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</si>
  <si>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</si>
  <si>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</si>
  <si>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</si>
  <si>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</si>
  <si>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</si>
  <si>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</si>
  <si>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</si>
  <si>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</si>
  <si>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</si>
  <si>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</si>
  <si>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</si>
  <si>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</si>
  <si>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</si>
  <si>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</si>
  <si>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</si>
  <si>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</si>
  <si>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</si>
  <si>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</si>
  <si>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</si>
  <si>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</si>
  <si>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</si>
  <si>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</si>
  <si>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</si>
  <si>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</si>
  <si>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</si>
  <si>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</si>
  <si>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</si>
  <si>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</si>
  <si>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</si>
  <si>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</si>
  <si>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</si>
  <si>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</si>
  <si>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</si>
  <si>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</si>
  <si>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</si>
  <si>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</si>
  <si>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</si>
  <si>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</si>
  <si>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</si>
  <si>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</si>
  <si>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</si>
  <si>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</si>
  <si>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</si>
  <si>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</si>
  <si>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</si>
  <si>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</si>
  <si>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</si>
  <si>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</si>
  <si>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</si>
  <si>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</si>
  <si>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</si>
  <si>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</si>
  <si>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</si>
  <si>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</si>
  <si>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</si>
  <si>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</si>
  <si>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</si>
  <si>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</si>
  <si>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</si>
  <si>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</si>
  <si>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</si>
  <si>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</si>
  <si>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</si>
  <si>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</si>
  <si>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</si>
  <si>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</si>
  <si>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</si>
  <si>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</si>
  <si>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</si>
  <si>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</si>
  <si>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</si>
  <si>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</si>
  <si>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</si>
  <si>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</si>
  <si>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</si>
  <si>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</si>
  <si>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</si>
  <si>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</si>
  <si>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</si>
  <si>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</si>
  <si>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</si>
  <si>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</si>
  <si>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</si>
  <si>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</si>
  <si>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</si>
  <si>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</si>
  <si>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</si>
  <si>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</si>
  <si>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</si>
  <si>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</si>
  <si>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</si>
  <si>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</si>
  <si>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</si>
  <si>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</si>
  <si>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</si>
  <si>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</si>
  <si>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</si>
  <si>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</si>
  <si>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</si>
  <si>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</si>
  <si>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</si>
  <si>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</si>
  <si>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</si>
  <si>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</si>
  <si>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</si>
  <si>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</si>
  <si>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</si>
  <si>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</si>
  <si>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</si>
  <si>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</si>
  <si>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</si>
  <si>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</si>
  <si>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</si>
  <si>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</si>
  <si>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</si>
  <si>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</si>
  <si>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</si>
  <si>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</si>
  <si>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</si>
  <si>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</si>
  <si>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</si>
  <si>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</si>
  <si>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</si>
  <si>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</si>
  <si>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</si>
  <si>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</si>
  <si>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</si>
  <si>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</si>
  <si>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</si>
  <si>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</si>
  <si>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</si>
  <si>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</si>
  <si>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</si>
  <si>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</si>
  <si>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</si>
  <si>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</si>
  <si>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</si>
  <si>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</si>
  <si>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</si>
  <si>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</si>
  <si>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</si>
  <si>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</si>
  <si>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</si>
  <si>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</si>
  <si>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</si>
  <si>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</si>
  <si>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</si>
  <si>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</si>
  <si>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</si>
  <si>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</si>
  <si>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</si>
  <si>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</si>
  <si>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</si>
  <si>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</si>
  <si>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</si>
  <si>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</si>
  <si>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</si>
  <si>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</si>
  <si>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</si>
  <si>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</si>
  <si>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</si>
  <si>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</si>
  <si>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</si>
  <si>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</si>
  <si>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</si>
  <si>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</si>
  <si>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</si>
  <si>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</si>
  <si>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</si>
  <si>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</si>
  <si>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</si>
  <si>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</si>
  <si>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</si>
  <si>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</si>
  <si>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</si>
  <si>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</si>
  <si>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</si>
  <si>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</si>
  <si>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</si>
  <si>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</si>
  <si>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</si>
  <si>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</si>
  <si>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</si>
  <si>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</si>
  <si>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</si>
  <si>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</si>
  <si>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</si>
  <si>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</si>
  <si>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</si>
  <si>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</si>
  <si>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</si>
  <si>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</si>
  <si>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</si>
  <si>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</si>
  <si>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</si>
  <si>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</si>
  <si>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</si>
  <si>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</si>
  <si>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</si>
  <si>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</si>
  <si>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</si>
  <si>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</si>
  <si>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</si>
  <si>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</si>
  <si>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</si>
  <si>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</si>
  <si>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</si>
  <si>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</si>
  <si>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</si>
  <si>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</si>
  <si>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</si>
  <si>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</si>
  <si>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</si>
  <si>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</si>
  <si>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</si>
  <si>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</si>
  <si>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</si>
  <si>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</si>
  <si>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</si>
  <si>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</si>
  <si>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</si>
  <si>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</si>
  <si>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</si>
  <si>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</si>
  <si>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</si>
  <si>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</si>
  <si>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</si>
  <si>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</si>
  <si>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</si>
  <si>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</si>
  <si>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</si>
  <si>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</si>
  <si>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</si>
  <si>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</si>
  <si>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</si>
  <si>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</si>
  <si>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</si>
  <si>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</si>
  <si>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</si>
  <si>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</si>
  <si>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</si>
  <si>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</si>
  <si>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</si>
  <si>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</si>
  <si>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Separatkloakeringer</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</si>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</sst>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110" zoomScaleNormal="100" zoomScalePageLayoutView="11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CLlGgTVmQ9L4AnGlBAUarPJUs+3dbxtgTTqwZvcx/ipAWz6lttO6hS+WfZvpa8OIKTDjiuKT5lW9dFC306lu6Q==" saltValue="/ZqimoPtHbXKqQ8490km2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209457</v>
      </c>
      <c r="D10" s="14" t="s">
        <v>3</v>
      </c>
      <c r="E10" s="1"/>
      <c r="F10" s="1"/>
    </row>
    <row r="11" spans="1:6" x14ac:dyDescent="0.25">
      <c r="A11" s="1"/>
      <c r="B11" s="94" t="s">
        <v>266</v>
      </c>
      <c r="C11" s="9">
        <v>101861</v>
      </c>
      <c r="D11" s="14" t="s">
        <v>3</v>
      </c>
      <c r="E11" s="1"/>
      <c r="F11" s="1"/>
    </row>
    <row r="12" spans="1:6" x14ac:dyDescent="0.25">
      <c r="A12" s="1"/>
      <c r="B12" s="94" t="s">
        <v>267</v>
      </c>
      <c r="C12" s="9">
        <v>1371764</v>
      </c>
      <c r="D12" s="14" t="s">
        <v>3</v>
      </c>
      <c r="E12" s="1"/>
      <c r="F12" s="1"/>
    </row>
    <row r="13" spans="1:6" x14ac:dyDescent="0.25">
      <c r="A13" s="1"/>
      <c r="B13" s="94" t="s">
        <v>268</v>
      </c>
      <c r="C13" s="9">
        <v>238024</v>
      </c>
      <c r="D13" s="14" t="s">
        <v>3</v>
      </c>
      <c r="E13" s="1"/>
      <c r="F13" s="1"/>
    </row>
    <row r="14" spans="1:6" x14ac:dyDescent="0.25">
      <c r="A14" s="1"/>
      <c r="B14" s="32" t="s">
        <v>200</v>
      </c>
      <c r="C14" s="12">
        <f>SUM(C10:C13)</f>
        <v>1921106</v>
      </c>
      <c r="D14" s="13" t="s">
        <v>3</v>
      </c>
      <c r="E14" s="1"/>
      <c r="F14" s="1"/>
    </row>
    <row r="15" spans="1:6" x14ac:dyDescent="0.25">
      <c r="A15" s="1"/>
      <c r="B15" s="32" t="s">
        <v>201</v>
      </c>
      <c r="C15" s="12">
        <f>C14*(1+'Fane 15. Nøgletal'!C15)^2</f>
        <v>2060323.4801001602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6UjLbsGFZGWuOjXgUoxDb3kOoAZkjKUwjaS0PegYzYXBIAKlcYni9i4gyxV1omK1YPhzOBMKAXhDuOJen3XANA==" saltValue="9E7IK4evr3PLnTqd0nt/g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98" zoomScaleNormal="100" zoomScalePageLayoutView="98"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-6022431.0846234709</v>
      </c>
      <c r="F9" s="14" t="s">
        <v>3</v>
      </c>
      <c r="G9" s="1"/>
    </row>
    <row r="10" spans="1:7" x14ac:dyDescent="0.25">
      <c r="A10" s="1"/>
      <c r="B10" s="136" t="s">
        <v>263</v>
      </c>
      <c r="C10" s="137"/>
      <c r="D10" s="138"/>
      <c r="E10" s="9">
        <v>0</v>
      </c>
      <c r="F10" s="14" t="s">
        <v>3</v>
      </c>
      <c r="G10" s="1"/>
    </row>
    <row r="11" spans="1:7" x14ac:dyDescent="0.25">
      <c r="A11" s="1"/>
      <c r="B11" s="32"/>
      <c r="C11" s="27"/>
      <c r="D11" s="27"/>
      <c r="E11" s="27"/>
      <c r="F11" s="19"/>
      <c r="G11" s="1"/>
    </row>
    <row r="12" spans="1:7" ht="66.75"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0</v>
      </c>
      <c r="F15" s="14" t="s">
        <v>3</v>
      </c>
      <c r="G15" s="1"/>
    </row>
    <row r="16" spans="1:7" x14ac:dyDescent="0.25">
      <c r="A16" s="1"/>
      <c r="B16" s="136" t="s">
        <v>283</v>
      </c>
      <c r="C16" s="137"/>
      <c r="D16" s="138"/>
      <c r="E16" s="9">
        <v>0</v>
      </c>
      <c r="F16" s="14" t="s">
        <v>3</v>
      </c>
      <c r="G16" s="1"/>
    </row>
    <row r="17" spans="1:7" x14ac:dyDescent="0.25">
      <c r="A17" s="1"/>
      <c r="B17" s="32"/>
      <c r="C17" s="27"/>
      <c r="D17" s="27"/>
      <c r="E17" s="27"/>
      <c r="F17" s="19"/>
      <c r="G17" s="1"/>
    </row>
    <row r="18" spans="1:7" ht="29.25" customHeight="1" x14ac:dyDescent="0.25">
      <c r="A18" s="1"/>
      <c r="B18" s="121" t="s">
        <v>288</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81669089.596710697</v>
      </c>
      <c r="F21" s="14" t="s">
        <v>3</v>
      </c>
      <c r="G21" s="1"/>
    </row>
    <row r="22" spans="1:7" x14ac:dyDescent="0.25">
      <c r="A22" s="1"/>
      <c r="B22" s="91" t="s">
        <v>207</v>
      </c>
      <c r="C22" s="92"/>
      <c r="D22" s="93"/>
      <c r="E22" s="9">
        <v>76195353</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5473736.5967106968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4" t="s">
        <v>285</v>
      </c>
      <c r="C28" s="135"/>
      <c r="D28" s="155"/>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6" t="s">
        <v>143</v>
      </c>
      <c r="C32" s="157"/>
      <c r="D32" s="158"/>
      <c r="E32" s="74">
        <f>IF(AND(E9&gt;0,(E9+E24)&gt;0),0,IF(AND(E9&gt;0,(E9+E24)&lt;0),(E9+E24),IF(AND(E9&lt;0,E24&lt;0),E24,0)))</f>
        <v>0</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3">
        <f>E32/E33</f>
        <v>0</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nXzuG/K7oZKbDCkxGJi+Kqtlqa07fYhngg/odE4PK0ShcE1AsNM6N40VpF0p4nSSbaH7+ExZwqfPW3HssHzKA==" saltValue="Q8/7iWB+czuGFapPaGav3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271</v>
      </c>
      <c r="C10" s="160"/>
      <c r="D10" s="160"/>
      <c r="E10" s="160"/>
      <c r="F10" s="161"/>
      <c r="G10" s="9">
        <v>0</v>
      </c>
      <c r="H10" s="9" t="s">
        <v>3</v>
      </c>
      <c r="I10" s="1"/>
    </row>
    <row r="11" spans="1:9" x14ac:dyDescent="0.25">
      <c r="A11" s="1"/>
      <c r="B11" s="159" t="s">
        <v>272</v>
      </c>
      <c r="C11" s="160"/>
      <c r="D11" s="160"/>
      <c r="E11" s="160"/>
      <c r="F11" s="161"/>
      <c r="G11" s="9">
        <v>0</v>
      </c>
      <c r="H11" s="9" t="s">
        <v>3</v>
      </c>
      <c r="I11" s="1"/>
    </row>
    <row r="12" spans="1:9" x14ac:dyDescent="0.25">
      <c r="A12" s="1"/>
      <c r="B12" s="159" t="s">
        <v>273</v>
      </c>
      <c r="C12" s="160"/>
      <c r="D12" s="160"/>
      <c r="E12" s="160"/>
      <c r="F12" s="161"/>
      <c r="G12" s="9">
        <v>0</v>
      </c>
      <c r="H12" s="9" t="s">
        <v>3</v>
      </c>
      <c r="I12" s="1"/>
    </row>
    <row r="13" spans="1:9" x14ac:dyDescent="0.25">
      <c r="A13" s="1"/>
      <c r="B13" s="159" t="s">
        <v>274</v>
      </c>
      <c r="C13" s="160"/>
      <c r="D13" s="160"/>
      <c r="E13" s="160"/>
      <c r="F13" s="161"/>
      <c r="G13" s="9">
        <v>0</v>
      </c>
      <c r="H13" s="9" t="s">
        <v>3</v>
      </c>
      <c r="I13" s="1"/>
    </row>
    <row r="14" spans="1:9" x14ac:dyDescent="0.25">
      <c r="A14" s="1"/>
      <c r="B14" s="159" t="s">
        <v>275</v>
      </c>
      <c r="C14" s="160"/>
      <c r="D14" s="160"/>
      <c r="E14" s="160"/>
      <c r="F14" s="161"/>
      <c r="G14" s="9">
        <v>0</v>
      </c>
      <c r="H14" s="9" t="s">
        <v>3</v>
      </c>
      <c r="I14" s="1"/>
    </row>
    <row r="15" spans="1:9" x14ac:dyDescent="0.25">
      <c r="A15" s="1"/>
      <c r="B15" s="159" t="s">
        <v>276</v>
      </c>
      <c r="C15" s="160"/>
      <c r="D15" s="160"/>
      <c r="E15" s="160"/>
      <c r="F15" s="161"/>
      <c r="G15" s="9">
        <v>0</v>
      </c>
      <c r="H15" s="9" t="s">
        <v>3</v>
      </c>
      <c r="I15" s="1"/>
    </row>
    <row r="16" spans="1:9" x14ac:dyDescent="0.25">
      <c r="A16" s="1"/>
      <c r="B16" s="159" t="s">
        <v>277</v>
      </c>
      <c r="C16" s="160"/>
      <c r="D16" s="160"/>
      <c r="E16" s="160"/>
      <c r="F16" s="161"/>
      <c r="G16" s="9">
        <v>0</v>
      </c>
      <c r="H16" s="9" t="s">
        <v>3</v>
      </c>
      <c r="I16" s="1"/>
    </row>
    <row r="17" spans="1:9" x14ac:dyDescent="0.25">
      <c r="A17" s="1"/>
      <c r="B17" s="159" t="s">
        <v>278</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SmS73iff+1hNeFBE3ojcPF7m2Dm2H1uvCVVVEAlm0tF1zs3SJe/0wTwK9PNDtfqVUKYxKx4YJe4sNU5ASHtyWA==" saltValue="y9uqHJgy1bUhW8IwWXVgn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5"/>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5"/>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wiD0AGeE6uh3m4xAnPCmn2+zGeyTltoBBwBhepFeiRi0eZBXqHCnkJpA9D0YOQRI0g42f5p3ZQ8FVjjX6Rb8Q==" saltValue="EbNAqYv9Q38p80YyuQ1tX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tgurjEAcyoBcPEf5yNWlmcO90eCD19CFHJmRZbk220RwUaS+uGJmRCIInZTSb4jcFKh+EsLXcRqe/+WIiNumg==" saltValue="EWMzfgZVxlUpex7/kr0X9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280</v>
      </c>
      <c r="C11" s="21">
        <v>72301</v>
      </c>
      <c r="D11" s="14" t="s">
        <v>3</v>
      </c>
      <c r="E11" s="9">
        <v>576812</v>
      </c>
      <c r="F11" s="14" t="s">
        <v>3</v>
      </c>
      <c r="G11" s="1"/>
    </row>
    <row r="12" spans="1:7" x14ac:dyDescent="0.25">
      <c r="A12" s="1"/>
      <c r="B12" s="32" t="s">
        <v>156</v>
      </c>
      <c r="C12" s="12">
        <f>SUM(C10:C11)</f>
        <v>72301</v>
      </c>
      <c r="D12" s="13" t="s">
        <v>3</v>
      </c>
      <c r="E12" s="12">
        <f>SUM(E10:E11)</f>
        <v>576812</v>
      </c>
      <c r="F12" s="13" t="s">
        <v>3</v>
      </c>
      <c r="G12" s="1"/>
    </row>
    <row r="13" spans="1:7" x14ac:dyDescent="0.25">
      <c r="A13" s="1"/>
      <c r="B13" s="32" t="s">
        <v>213</v>
      </c>
      <c r="C13" s="12">
        <f>C12*(1+'Fane 15. Nøgletal'!C15)</f>
        <v>74874.915600000008</v>
      </c>
      <c r="D13" s="13" t="s">
        <v>3</v>
      </c>
      <c r="E13" s="12">
        <f>E12*(1+'Fane 15. Nøgletal'!C15)</f>
        <v>597346.50719999999</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qO8qSL2zbEtWVtD7N1O0ZMjrgvfxGS2xPdbS4QDxLoFWd11hA9thbCF9L/hBsWSpl36YDmgdMRrZih74ASGXg==" saltValue="n0H1MCY4RTNwzQdzOLHNY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281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CV5nxHm+D00mMuUYg2K4ANrPoVxDPpwTNjrR1HfsyCT/QGKvrROz0MlxLjxTLKeFHWYn7EE7Kzbyyem1E+4muA==" saltValue="rUiiRtIwNbNFZwTvZ1iJ1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tx30qI4UwOvlcaaAAIRh2W8Xl83RafCx07nQRT90AYFowjHA99yF9o1w0Lod6Isq5xYmbCnnLVvvT+bfBnx+A==" saltValue="Q/DNEDhXSMTCigZHImqUa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 style="2" customWidth="1"/>
    <col min="2" max="2" width="41.42578125" style="2" customWidth="1"/>
    <col min="3" max="3" width="15.5703125" style="2" customWidth="1"/>
    <col min="4" max="4" width="3.28515625" style="2" customWidth="1"/>
    <col min="5" max="5" width="17.140625" style="2" customWidth="1"/>
    <col min="6" max="6" width="3.2851562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F71X8JmaN0HslhSyMY0XopJ0t4toJXOmEvdqwZFDkQFxZY1a77L/7xBvNqC6PjXXgaNfpb8zVofOw8YsaN5kw==" saltValue="Uuh+vUicom9c9D/xRSlE6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59wYHa+CvyLUlNo3sMzlI1OJ4tULvMK5GUhg5DF9J6hGc1bM1emAfrkfKw9KHB2zokQ+QMcrffuvlQhrgrjTQ==" saltValue="BytuVxeIYbx72aeWp8Zzh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90" zoomScaleNormal="100" zoomScalePageLayoutView="9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78402364.957478225</v>
      </c>
      <c r="D9" s="8" t="s">
        <v>3</v>
      </c>
      <c r="E9" s="1"/>
    </row>
    <row r="10" spans="1:5" ht="17.25" customHeight="1" x14ac:dyDescent="0.25">
      <c r="A10" s="1"/>
      <c r="B10" s="82" t="s">
        <v>39</v>
      </c>
      <c r="C10" s="7">
        <f>'Fane 11.1. Varige tillæg'!C13</f>
        <v>74874.915600000008</v>
      </c>
      <c r="D10" s="8" t="s">
        <v>3</v>
      </c>
      <c r="E10" s="1"/>
    </row>
    <row r="11" spans="1:5" ht="17.25" customHeight="1" x14ac:dyDescent="0.25">
      <c r="A11" s="1"/>
      <c r="B11" s="82" t="s">
        <v>40</v>
      </c>
      <c r="C11" s="9">
        <f>'Fane 11.1. Varige tillæg'!E13</f>
        <v>597346.50719999999</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282658.88701135817</v>
      </c>
      <c r="D16" s="8" t="s">
        <v>3</v>
      </c>
      <c r="E16" s="1"/>
    </row>
    <row r="17" spans="1:5" ht="17.25" customHeight="1" x14ac:dyDescent="0.25">
      <c r="A17" s="1"/>
      <c r="B17" s="82" t="s">
        <v>10</v>
      </c>
      <c r="C17" s="44">
        <f>-SUM(C9,C10:C16)*'Fane 5. Individuelt eff. krav'!G9</f>
        <v>-229120.56640038828</v>
      </c>
      <c r="D17" s="8" t="s">
        <v>3</v>
      </c>
      <c r="E17" s="1"/>
    </row>
    <row r="18" spans="1:5" ht="17.25" customHeight="1" x14ac:dyDescent="0.25">
      <c r="A18" s="1"/>
      <c r="B18" s="82" t="s">
        <v>24</v>
      </c>
      <c r="C18" s="44">
        <f>-'Fane 4.1. Gen. krav - drift'!G45</f>
        <v>-488230.77878205571</v>
      </c>
      <c r="D18" s="8" t="s">
        <v>3</v>
      </c>
      <c r="E18" s="1"/>
    </row>
    <row r="19" spans="1:5" ht="17.25" customHeight="1" x14ac:dyDescent="0.25">
      <c r="A19" s="1"/>
      <c r="B19" s="82" t="s">
        <v>25</v>
      </c>
      <c r="C19" s="44">
        <f>-'Fane 4.2. Gen. krav - anlæg'!G43</f>
        <v>-903208.54121935775</v>
      </c>
      <c r="D19" s="8" t="s">
        <v>3</v>
      </c>
      <c r="E19" s="48"/>
    </row>
    <row r="20" spans="1:5" ht="17.25" customHeight="1" x14ac:dyDescent="0.25">
      <c r="A20" s="1"/>
      <c r="B20" s="88" t="s">
        <v>21</v>
      </c>
      <c r="C20" s="10">
        <f>SUM(C9:C19)</f>
        <v>77736685.380887792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2060323.4801001602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79797008.860987946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71Y6QiiecivEM+97PpFh+A4/kAtue87FzYu6x0QV+CcVrc+0FYOYmnd5Rld+sqmwqqHvX/iOKoeX5fDCntuu6w==" saltValue="JIDJJSv+R6Ye/Oa2UytOh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V848T0lCPfwvNirXYX3RIm5yYeCMcK3+4TzL2Y/buezMaiI5/OtE3QXXndixIpvJ8r5wQRvep3oobC4+nfY47A==" saltValue="azfotGenNEA6swM0Z9DZR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77736685.380887792</v>
      </c>
      <c r="D9" s="8" t="s">
        <v>3</v>
      </c>
      <c r="E9" s="1"/>
    </row>
    <row r="10" spans="1:5" ht="15" customHeight="1" x14ac:dyDescent="0.25">
      <c r="A10" s="1"/>
      <c r="B10" s="25" t="s">
        <v>19</v>
      </c>
      <c r="C10" s="7">
        <f>SUM(C9:C9)*'Fane 15. Nøgletal'!C15</f>
        <v>2767425.9995596055</v>
      </c>
      <c r="D10" s="8" t="s">
        <v>3</v>
      </c>
      <c r="E10" s="1"/>
    </row>
    <row r="11" spans="1:5" ht="15" customHeight="1" x14ac:dyDescent="0.25">
      <c r="A11" s="1"/>
      <c r="B11" s="25" t="s">
        <v>10</v>
      </c>
      <c r="C11" s="9">
        <f>-SUM(C9:C10)*'Fane 5. Individuelt eff. krav'!G9</f>
        <v>-232431.80298057789</v>
      </c>
      <c r="D11" s="8" t="s">
        <v>3</v>
      </c>
      <c r="E11" s="1"/>
    </row>
    <row r="12" spans="1:5" ht="15" customHeight="1" x14ac:dyDescent="0.25">
      <c r="A12" s="1"/>
      <c r="B12" s="25" t="s">
        <v>24</v>
      </c>
      <c r="C12" s="9">
        <f>-'Fane 4.1. Gen. krav - drift'!G53</f>
        <v>-495499.55861656304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79776180.018850267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2133670.9959917259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81909851.014841989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Csg5/k+qBKnIptxWQLy1aJVXfkFyFNHbcBNoo8as4q+/Rvk5HMoSNrMGYBIm5cZugwu3H/TJVVWzvgAcPQKKw==" saltValue="1BeeukEz/6SpyqE5/yDQf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79776180.018850267</v>
      </c>
      <c r="D9" s="8" t="s">
        <v>3</v>
      </c>
      <c r="E9" s="1"/>
    </row>
    <row r="10" spans="1:5" ht="15" customHeight="1" x14ac:dyDescent="0.25">
      <c r="A10" s="1"/>
      <c r="B10" s="25" t="s">
        <v>19</v>
      </c>
      <c r="C10" s="7">
        <f>SUM(C9:C9)*'Fane 15. Nøgletal'!C15</f>
        <v>2840032.0086710695</v>
      </c>
      <c r="D10" s="8" t="s">
        <v>3</v>
      </c>
      <c r="E10" s="1"/>
    </row>
    <row r="11" spans="1:5" ht="15" customHeight="1" x14ac:dyDescent="0.25">
      <c r="A11" s="1"/>
      <c r="B11" s="25" t="s">
        <v>10</v>
      </c>
      <c r="C11" s="9">
        <f>-SUM(C9:C10)*'Fane 5. Individuelt eff. krav'!G9</f>
        <v>-238529.86869495921</v>
      </c>
      <c r="D11" s="8" t="s">
        <v>3</v>
      </c>
      <c r="E11" s="1"/>
    </row>
    <row r="12" spans="1:5" ht="15" customHeight="1" x14ac:dyDescent="0.25">
      <c r="A12" s="1"/>
      <c r="B12" s="25" t="s">
        <v>24</v>
      </c>
      <c r="C12" s="9">
        <f>-'Fane 4.1. Gen. krav - drift'!G58</f>
        <v>-502876.55604524643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81874805.602781132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2209629.6834490318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84084435.286230162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I2AH3M7Xfq2pYFwML62ebg9bfJqdkhAubnGW3Xara6q159trgfQRqbfq2ZO4WE0fhbcirk0qpV9P9ZiNcHSDw==" saltValue="hPo8UqWp3OeV1eHpa8Rxl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81874805.602781132</v>
      </c>
      <c r="D9" s="8" t="s">
        <v>3</v>
      </c>
      <c r="E9" s="1"/>
    </row>
    <row r="10" spans="1:5" ht="15" customHeight="1" x14ac:dyDescent="0.25">
      <c r="A10" s="1"/>
      <c r="B10" s="25" t="s">
        <v>19</v>
      </c>
      <c r="C10" s="7">
        <f>SUM(C9:C9)*'Fane 15. Nøgletal'!C15</f>
        <v>2914743.0794590083</v>
      </c>
      <c r="D10" s="8" t="s">
        <v>3</v>
      </c>
      <c r="E10" s="1"/>
    </row>
    <row r="11" spans="1:5" ht="15" customHeight="1" x14ac:dyDescent="0.25">
      <c r="A11" s="1"/>
      <c r="B11" s="25" t="s">
        <v>10</v>
      </c>
      <c r="C11" s="9">
        <f>-SUM(C9:C10)*'Fane 5. Individuelt eff. krav'!G9</f>
        <v>-244804.7352636095</v>
      </c>
      <c r="D11" s="8" t="s">
        <v>3</v>
      </c>
      <c r="E11" s="1"/>
    </row>
    <row r="12" spans="1:5" ht="15" customHeight="1" x14ac:dyDescent="0.25">
      <c r="A12" s="1"/>
      <c r="B12" s="25" t="s">
        <v>24</v>
      </c>
      <c r="C12" s="9">
        <f>-'Fane 4.1. Gen. krav - drift'!G63</f>
        <v>-510363.3822116481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84034380.564764872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2288292.5001798174</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86322673.064944685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eK4ENrDr3ekJtUFn8KFepnPb24T+B+xc+qPWq9jQdkPs9r7K+FFw+oRs9LNkf0sFDWPGPzFvA1U358Rqje43Q==" saltValue="zBPbGv1gfl+63/k5vAk++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1" t="s">
        <v>192</v>
      </c>
      <c r="C9" s="122"/>
      <c r="D9" s="123"/>
      <c r="E9" s="7">
        <v>79039538.894152895</v>
      </c>
      <c r="F9" s="8" t="s">
        <v>3</v>
      </c>
      <c r="G9" s="1"/>
    </row>
    <row r="10" spans="1:7" ht="15" customHeight="1" x14ac:dyDescent="0.25">
      <c r="A10" s="1"/>
      <c r="B10" s="125" t="s">
        <v>39</v>
      </c>
      <c r="C10" s="126"/>
      <c r="D10" s="127"/>
      <c r="E10" s="7">
        <v>426041.31200000003</v>
      </c>
      <c r="F10" s="8" t="s">
        <v>3</v>
      </c>
      <c r="G10" s="1"/>
    </row>
    <row r="11" spans="1:7" ht="15" customHeight="1" x14ac:dyDescent="0.25">
      <c r="A11" s="1"/>
      <c r="B11" s="125" t="s">
        <v>40</v>
      </c>
      <c r="C11" s="126"/>
      <c r="D11" s="127"/>
      <c r="E11" s="9">
        <v>313352.66260000004</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263270.47846688458</v>
      </c>
      <c r="F16" s="8" t="s">
        <v>3</v>
      </c>
      <c r="G16" s="1"/>
    </row>
    <row r="17" spans="1:7" ht="15" customHeight="1" x14ac:dyDescent="0.25">
      <c r="A17" s="1"/>
      <c r="B17" s="121" t="s">
        <v>10</v>
      </c>
      <c r="C17" s="122"/>
      <c r="D17" s="123"/>
      <c r="E17" s="9">
        <v>-231098.18019866885</v>
      </c>
      <c r="F17" s="8" t="s">
        <v>3</v>
      </c>
      <c r="G17" s="1"/>
    </row>
    <row r="18" spans="1:7" ht="15" customHeight="1" x14ac:dyDescent="0.25">
      <c r="A18" s="1"/>
      <c r="B18" s="121" t="s">
        <v>24</v>
      </c>
      <c r="C18" s="122"/>
      <c r="D18" s="123"/>
      <c r="E18" s="9">
        <f>-'Fane 4.1. Gen. krav - drift'!G39</f>
        <v>-494978.78381966904</v>
      </c>
      <c r="F18" s="8" t="s">
        <v>3</v>
      </c>
      <c r="G18" s="1"/>
    </row>
    <row r="19" spans="1:7" ht="15" customHeight="1" x14ac:dyDescent="0.25">
      <c r="A19" s="1"/>
      <c r="B19" s="121" t="s">
        <v>25</v>
      </c>
      <c r="C19" s="122"/>
      <c r="D19" s="123"/>
      <c r="E19" s="9">
        <f>-'Fane 4.2. Gen. krav - anlæg'!G37</f>
        <v>-913761.42572320683</v>
      </c>
      <c r="F19" s="8" t="s">
        <v>3</v>
      </c>
      <c r="G19" s="1"/>
    </row>
    <row r="20" spans="1:7" ht="15" customHeight="1" x14ac:dyDescent="0.25">
      <c r="A20" s="1"/>
      <c r="B20" s="54" t="s">
        <v>21</v>
      </c>
      <c r="C20" s="89"/>
      <c r="D20" s="96"/>
      <c r="E20" s="51">
        <f>SUM(E9:E19)</f>
        <v>78402364.957478225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2443977.7583250306</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530101.25264474319</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f>SUM(E26:E27)</f>
        <v>530101.25264474319</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81376443.968447998</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Y+KfKcStCN2OxC2P03DIkVIKk204J0tDaRn75nUj0d4xoC6QsAx+GPe9C3D8D82KLke1Xx+eAPHOgHHuofMJaA==" saltValue="ASJJWwko/uIVRXUK7zo84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24912387</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498247.74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24841386.697050005</v>
      </c>
      <c r="H11" s="14" t="s">
        <v>3</v>
      </c>
      <c r="I11" s="1"/>
    </row>
    <row r="12" spans="1:9" ht="15" customHeight="1" x14ac:dyDescent="0.25">
      <c r="A12" s="1"/>
      <c r="B12" s="136" t="s">
        <v>121</v>
      </c>
      <c r="C12" s="137"/>
      <c r="D12" s="137"/>
      <c r="E12" s="137"/>
      <c r="F12" s="138"/>
      <c r="G12" s="77">
        <v>0.30014303389936686</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496827.7399438608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24770589.04425104</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495411.78088502079</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24753398.255454328</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495067.9651090866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24736219.397065043</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494724.38794130087</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24321491.942653853</v>
      </c>
      <c r="H37" s="14" t="s">
        <v>3</v>
      </c>
      <c r="I37" s="1"/>
    </row>
    <row r="38" spans="1:9" x14ac:dyDescent="0.25">
      <c r="A38" s="1"/>
      <c r="B38" s="136" t="s">
        <v>164</v>
      </c>
      <c r="C38" s="137"/>
      <c r="D38" s="137"/>
      <c r="E38" s="137"/>
      <c r="F38" s="138"/>
      <c r="G38" s="76">
        <v>427447.24832960009</v>
      </c>
      <c r="H38" s="14" t="s">
        <v>3</v>
      </c>
      <c r="I38" s="1"/>
    </row>
    <row r="39" spans="1:9" x14ac:dyDescent="0.25">
      <c r="A39" s="1"/>
      <c r="B39" s="136" t="s">
        <v>162</v>
      </c>
      <c r="C39" s="137"/>
      <c r="D39" s="137"/>
      <c r="E39" s="137"/>
      <c r="F39" s="138"/>
      <c r="G39" s="76">
        <f>(G37+G38)*'Fane 15. Nøgletal'!C31</f>
        <v>494978.78381966904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24333998.476507425</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77540.462595360019</v>
      </c>
      <c r="H44" s="14" t="s">
        <v>3</v>
      </c>
      <c r="I44" s="1"/>
    </row>
    <row r="45" spans="1:9" x14ac:dyDescent="0.25">
      <c r="A45" s="1"/>
      <c r="B45" s="136" t="s">
        <v>163</v>
      </c>
      <c r="C45" s="137"/>
      <c r="D45" s="137"/>
      <c r="E45" s="137"/>
      <c r="F45" s="138"/>
      <c r="G45" s="76">
        <f>SUM(G43:G44)*'Fane 15. Nøgletal'!C31</f>
        <v>488230.77878205571</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24774977.93082815</v>
      </c>
      <c r="H52" s="14" t="s">
        <v>3</v>
      </c>
      <c r="I52" s="1"/>
    </row>
    <row r="53" spans="1:9" x14ac:dyDescent="0.25">
      <c r="A53" s="1"/>
      <c r="B53" s="136" t="s">
        <v>138</v>
      </c>
      <c r="C53" s="137"/>
      <c r="D53" s="137"/>
      <c r="E53" s="137"/>
      <c r="F53" s="138"/>
      <c r="G53" s="76">
        <f>(G52)*'Fane 15. Nøgletal'!C31</f>
        <v>495499.55861656304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25143827.802262321</v>
      </c>
      <c r="H57" s="14" t="s">
        <v>3</v>
      </c>
      <c r="I57" s="1"/>
    </row>
    <row r="58" spans="1:9" x14ac:dyDescent="0.25">
      <c r="A58" s="1"/>
      <c r="B58" s="91" t="s">
        <v>152</v>
      </c>
      <c r="C58" s="92"/>
      <c r="D58" s="92"/>
      <c r="E58" s="92"/>
      <c r="F58" s="93"/>
      <c r="G58" s="76">
        <f>(G57)*'Fane 15. Nøgletal'!C31</f>
        <v>502876.55604524643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25518169.110582404</v>
      </c>
      <c r="H62" s="14" t="s">
        <v>3</v>
      </c>
      <c r="I62" s="1"/>
    </row>
    <row r="63" spans="1:9" x14ac:dyDescent="0.25">
      <c r="A63" s="1"/>
      <c r="B63" s="91" t="s">
        <v>195</v>
      </c>
      <c r="C63" s="92"/>
      <c r="D63" s="92"/>
      <c r="E63" s="92"/>
      <c r="F63" s="93"/>
      <c r="G63" s="76">
        <f>(G62)*'Fane 15. Nøgletal'!C31</f>
        <v>510363.3822116481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L+y7V0xSdipRsOxjcVBSeqpsa1L3b9gFV9E8Qbs7m+Qh9I+qwFJN9WNPqqlV3o2rKC+JLlePlXaAvBfI5rvttA==" saltValue="OK9dABfBgceaidRzRnE7v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 style="2" customWidth="1"/>
    <col min="2" max="5" width="9.140625" style="2"/>
    <col min="6" max="6" width="29"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62771048</v>
      </c>
      <c r="H5" s="14" t="s">
        <v>3</v>
      </c>
      <c r="I5" s="1"/>
    </row>
    <row r="6" spans="1:9" x14ac:dyDescent="0.25">
      <c r="A6" s="1"/>
      <c r="B6" s="136" t="s">
        <v>57</v>
      </c>
      <c r="C6" s="137"/>
      <c r="D6" s="137"/>
      <c r="E6" s="137"/>
      <c r="F6" s="138"/>
      <c r="G6" s="76">
        <f>G5*'Fane 15. Nøgletal'!C20</f>
        <v>571216.5368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63288328.513806008</v>
      </c>
      <c r="H10" s="14" t="s">
        <v>3</v>
      </c>
      <c r="I10" s="1"/>
    </row>
    <row r="11" spans="1:9" x14ac:dyDescent="0.25">
      <c r="A11" s="1"/>
      <c r="B11" s="136" t="s">
        <v>122</v>
      </c>
      <c r="C11" s="137"/>
      <c r="D11" s="137"/>
      <c r="E11" s="137"/>
      <c r="F11" s="138"/>
      <c r="G11" s="76">
        <v>241931.80615855777</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1124485.6076633728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63497875.769766472</v>
      </c>
      <c r="H17" s="14" t="s">
        <v>3</v>
      </c>
      <c r="I17" s="1"/>
    </row>
    <row r="18" spans="1:9" x14ac:dyDescent="0.25">
      <c r="A18" s="1"/>
      <c r="B18" s="143" t="s">
        <v>68</v>
      </c>
      <c r="C18" s="144"/>
      <c r="D18" s="144"/>
      <c r="E18" s="144"/>
      <c r="F18" s="145"/>
      <c r="G18" s="76">
        <v>0</v>
      </c>
      <c r="H18" s="14" t="s">
        <v>3</v>
      </c>
      <c r="I18" s="1"/>
    </row>
    <row r="19" spans="1:9" x14ac:dyDescent="0.25">
      <c r="A19" s="1"/>
      <c r="B19" s="136" t="s">
        <v>69</v>
      </c>
      <c r="C19" s="137"/>
      <c r="D19" s="137"/>
      <c r="E19" s="137"/>
      <c r="F19" s="138"/>
      <c r="G19" s="76">
        <f>G17*'Fane 15. Nøgletal'!C21+G18*'Fane 15. Nøgletal'!C22</f>
        <v>1123912.4011248667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63602730.447003849</v>
      </c>
      <c r="H23" s="14" t="s">
        <v>3</v>
      </c>
      <c r="I23" s="1"/>
    </row>
    <row r="24" spans="1:9" x14ac:dyDescent="0.25">
      <c r="A24" s="1"/>
      <c r="B24" s="143" t="s">
        <v>72</v>
      </c>
      <c r="C24" s="144"/>
      <c r="D24" s="144"/>
      <c r="E24" s="144"/>
      <c r="F24" s="145"/>
      <c r="G24" s="76">
        <v>0</v>
      </c>
      <c r="H24" s="14" t="s">
        <v>3</v>
      </c>
      <c r="I24" s="1"/>
    </row>
    <row r="25" spans="1:9" x14ac:dyDescent="0.25">
      <c r="A25" s="1"/>
      <c r="B25" s="136" t="s">
        <v>73</v>
      </c>
      <c r="C25" s="137"/>
      <c r="D25" s="137"/>
      <c r="E25" s="137"/>
      <c r="F25" s="138"/>
      <c r="G25" s="76">
        <f>(G23+G24)*'Fane 15. Nøgletal'!C23</f>
        <v>1806317.5446949094</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63013802.236484431</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1789591.9835161578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61426250.146803074</v>
      </c>
      <c r="H35" s="14" t="s">
        <v>3</v>
      </c>
      <c r="I35" s="1"/>
    </row>
    <row r="36" spans="1:9" x14ac:dyDescent="0.25">
      <c r="A36" s="1"/>
      <c r="B36" s="136" t="s">
        <v>167</v>
      </c>
      <c r="C36" s="137"/>
      <c r="D36" s="137"/>
      <c r="E36" s="137"/>
      <c r="F36" s="138"/>
      <c r="G36" s="76">
        <v>314386.72638658009</v>
      </c>
      <c r="H36" s="14" t="s">
        <v>3</v>
      </c>
      <c r="I36" s="1"/>
    </row>
    <row r="37" spans="1:9" x14ac:dyDescent="0.25">
      <c r="A37" s="1"/>
      <c r="B37" s="136" t="s">
        <v>166</v>
      </c>
      <c r="C37" s="137"/>
      <c r="D37" s="137"/>
      <c r="E37" s="137"/>
      <c r="F37" s="138"/>
      <c r="G37" s="76">
        <f>(G35+G36)*'Fane 15. Nøgletal'!C25</f>
        <v>913761.42572320683</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61027604.136443086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618612.04285632004</v>
      </c>
      <c r="H42" s="14" t="s">
        <v>3</v>
      </c>
      <c r="I42" s="1"/>
    </row>
    <row r="43" spans="1:9" x14ac:dyDescent="0.25">
      <c r="A43" s="1"/>
      <c r="B43" s="136" t="s">
        <v>168</v>
      </c>
      <c r="C43" s="137"/>
      <c r="D43" s="137"/>
      <c r="E43" s="137"/>
      <c r="F43" s="138"/>
      <c r="G43" s="76">
        <f>(G41)*'Fane 15. Nøgletal'!C25+G42*'Fane 15. Nøgletal'!C26</f>
        <v>903208.54121935775</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62905458.709995702</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65144893.040071554</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67464051.232298106</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s0wU2ib8reEpsfRY6PoNKVh+IM6KvEMrfksKTqAR9bxn7zVg0qHlnGCKA/csppmO1azg81+eZtrQ2/aO6sg5bg==" saltValue="VrjIveeo03mKjrGj4suaJ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2.8872041315026581E-3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9+H4S/s7c2wezrFbhqNqcNrX32SX6R9w9deef0eyk8E3vznQLXpDI2cORQPAIJ2tbdcEMtBQfz1E1SZL+PpWNA==" saltValue="yI936sJIcmt62HMS0RDKL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2022-12-06T11:23:47Z</dcterms:modified>
</cp:coreProperties>
</file>